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25" windowHeight="7020" activeTab="3"/>
  </bookViews>
  <sheets>
    <sheet name="設計条件" sheetId="1" r:id="rId1"/>
    <sheet name="1.床版　2.主桁" sheetId="2" r:id="rId2"/>
    <sheet name="4.台持木" sheetId="3" r:id="rId3"/>
    <sheet name="5.高欄" sheetId="4" r:id="rId4"/>
    <sheet name="Sheet3" sheetId="5" r:id="rId5"/>
  </sheets>
  <definedNames>
    <definedName name="_xlnm.Print_Area" localSheetId="0">'設計条件'!$A$1:$M$50</definedName>
  </definedNames>
  <calcPr fullCalcOnLoad="1"/>
</workbook>
</file>

<file path=xl/sharedStrings.xml><?xml version="1.0" encoding="utf-8"?>
<sst xmlns="http://schemas.openxmlformats.org/spreadsheetml/2006/main" count="422" uniqueCount="299">
  <si>
    <t>曲げ応力度</t>
  </si>
  <si>
    <t>剪断応力度</t>
  </si>
  <si>
    <t>針葉樹</t>
  </si>
  <si>
    <t>広葉樹</t>
  </si>
  <si>
    <r>
      <t>（Ｎ/㎜</t>
    </r>
    <r>
      <rPr>
        <vertAlign val="super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）</t>
    </r>
  </si>
  <si>
    <t>名　　　　称</t>
  </si>
  <si>
    <t>木道路橋示方書案第15条</t>
  </si>
  <si>
    <t>橋　名</t>
  </si>
  <si>
    <t>上置層</t>
  </si>
  <si>
    <t>合計</t>
  </si>
  <si>
    <t>後輪荷重</t>
  </si>
  <si>
    <t>(T荷重最大1輪荷重）</t>
  </si>
  <si>
    <t>　　（a）　死荷重曲げモ－メント</t>
  </si>
  <si>
    <t>　木示４２条により支間Ｌは,純径間に10㎝を加えたものとする。</t>
  </si>
  <si>
    <t>純径間</t>
  </si>
  <si>
    <t>支間    L=</t>
  </si>
  <si>
    <t>　　（b）　活荷重曲げモ－メント</t>
  </si>
  <si>
    <t>(b)-1  分布幅</t>
  </si>
  <si>
    <t>　　橋軸方向</t>
  </si>
  <si>
    <t>＝</t>
  </si>
  <si>
    <t>　　橋軸直角方向</t>
  </si>
  <si>
    <t>(b)-2  曲げモ－メント</t>
  </si>
  <si>
    <t>　　橋軸方向　１m　当りの曲げモ－メントは</t>
  </si>
  <si>
    <t>　　（C）　衝撃による曲げモ－メント</t>
  </si>
  <si>
    <t>　木示７条により衝撃係数　ｉ　＝0.25　とする。</t>
  </si>
  <si>
    <t>　　 ＝</t>
  </si>
  <si>
    <t>X</t>
  </si>
  <si>
    <t>＝</t>
  </si>
  <si>
    <t>　　（d）　合計曲げモ－メント</t>
  </si>
  <si>
    <t>　　（a）　死荷重剪断力</t>
  </si>
  <si>
    <t>＝</t>
  </si>
  <si>
    <t>　　（a）　活荷重剪断力</t>
  </si>
  <si>
    <t>　　（C）　衝撃による剪断力</t>
  </si>
  <si>
    <t>　　（d）　合計剪断力</t>
  </si>
  <si>
    <t>　　曲げ応力度の検討</t>
  </si>
  <si>
    <t>Ｍ　：　曲げモ－メント</t>
  </si>
  <si>
    <t>　　剪断応力度の検討</t>
  </si>
  <si>
    <t xml:space="preserve">       τw　＝　Ｓ／Ａｗ</t>
  </si>
  <si>
    <t>Ｓ　：　剪断力</t>
  </si>
  <si>
    <t>　主桁にかかる単位長さ当りの荷重は。</t>
  </si>
  <si>
    <t>＝</t>
  </si>
  <si>
    <t>　　　　主桁自重</t>
  </si>
  <si>
    <t>　　　　均し木等</t>
  </si>
  <si>
    <t>　主桁の計算に用いる支間は，台持木の突出した長さの1/2だけ差し引いたものとする。</t>
  </si>
  <si>
    <t>支間長</t>
  </si>
  <si>
    <t>支間控除長（台持木突出し長）</t>
  </si>
  <si>
    <t>　主桁からの反力　Ｒ　は図のように台持木</t>
  </si>
  <si>
    <t>の先端に作用するものとする。</t>
  </si>
  <si>
    <t>　Ｒ　としては主桁の最大剪断力を用いる</t>
  </si>
  <si>
    <t>台持木径</t>
  </si>
  <si>
    <t>主桁径</t>
  </si>
  <si>
    <t>&lt;台持木&gt;</t>
  </si>
  <si>
    <t>&lt;高欄&gt;</t>
  </si>
  <si>
    <t>束柱断面</t>
  </si>
  <si>
    <t>束柱間隔</t>
  </si>
  <si>
    <t>Ｘ</t>
  </si>
  <si>
    <t>b</t>
  </si>
  <si>
    <t>h</t>
  </si>
  <si>
    <t>束柱長（先端～固定端まで）</t>
  </si>
  <si>
    <t>　木示11条より推力３０㎏/mが高欄先端部に</t>
  </si>
  <si>
    <t>水平力として作用するものとする。</t>
  </si>
  <si>
    <t>束柱１本当り</t>
  </si>
  <si>
    <t>　　橋軸方向　b1＝</t>
  </si>
  <si>
    <t>当りの曲げモ－メントは</t>
  </si>
  <si>
    <t>当りの剪断力は</t>
  </si>
  <si>
    <t>　　木示により　支間長≦６．０m　の曲げモ－メントは</t>
  </si>
  <si>
    <t>　　木示により　支間長＞６．０m　の曲げモ－メントは</t>
  </si>
  <si>
    <t>　分布幅</t>
  </si>
  <si>
    <t>　桁間隔</t>
  </si>
  <si>
    <t>　　（b）　活荷重剪断力</t>
  </si>
  <si>
    <t>敷成木</t>
  </si>
  <si>
    <t>　　単位長さ当り（１m）の敷成木の本数を算出し計算を行う。</t>
  </si>
  <si>
    <t>敷成木径</t>
  </si>
  <si>
    <t>&lt;敷成木&gt;</t>
  </si>
  <si>
    <t>m  X</t>
  </si>
  <si>
    <t>＝</t>
  </si>
  <si>
    <t>kN/㎡</t>
  </si>
  <si>
    <t>m  X</t>
  </si>
  <si>
    <t>kN/㎡</t>
  </si>
  <si>
    <t>W</t>
  </si>
  <si>
    <t>＝</t>
  </si>
  <si>
    <t>kN/㎡</t>
  </si>
  <si>
    <t>Ｐ</t>
  </si>
  <si>
    <t>Kn</t>
  </si>
  <si>
    <t>-</t>
  </si>
  <si>
    <t>＝</t>
  </si>
  <si>
    <t>m</t>
  </si>
  <si>
    <t>+</t>
  </si>
  <si>
    <t>m</t>
  </si>
  <si>
    <t>Ｍd　＝</t>
  </si>
  <si>
    <t>X</t>
  </si>
  <si>
    <t>kN・m</t>
  </si>
  <si>
    <t>b1　＝</t>
  </si>
  <si>
    <t>X   2  +</t>
  </si>
  <si>
    <t>＝</t>
  </si>
  <si>
    <t>m</t>
  </si>
  <si>
    <t>b2　＝</t>
  </si>
  <si>
    <t>Ｍｌ’＝P/2 X (L/2 - b2/4)</t>
  </si>
  <si>
    <t>　　 ＝</t>
  </si>
  <si>
    <t>/2 X</t>
  </si>
  <si>
    <t>/2   -</t>
  </si>
  <si>
    <t>/4  ) ＝</t>
  </si>
  <si>
    <t>kN・m</t>
  </si>
  <si>
    <t>　　 ＝</t>
  </si>
  <si>
    <t xml:space="preserve"> 　／</t>
  </si>
  <si>
    <t>kN・m</t>
  </si>
  <si>
    <t>-1-</t>
  </si>
  <si>
    <t>　　 ＝</t>
  </si>
  <si>
    <t>X</t>
  </si>
  <si>
    <t>kN・m</t>
  </si>
  <si>
    <t>Ｍ   ＝Ｍｄ　+　Ｍｌ　+　Ｍｉ</t>
  </si>
  <si>
    <t>　　 ＝</t>
  </si>
  <si>
    <t>＋</t>
  </si>
  <si>
    <t>kN・m</t>
  </si>
  <si>
    <t>Ｓｄ  ＝１／２　ＷＬ</t>
  </si>
  <si>
    <t>　　 ＝</t>
  </si>
  <si>
    <t>１／２</t>
  </si>
  <si>
    <t>X</t>
  </si>
  <si>
    <t>＝</t>
  </si>
  <si>
    <t>ｋＮ</t>
  </si>
  <si>
    <t>Ｓｌ’＝P/Ｌ X (L- b2/2)</t>
  </si>
  <si>
    <t xml:space="preserve"> ／</t>
  </si>
  <si>
    <t>/2 ) ＝</t>
  </si>
  <si>
    <t>ｋＮ</t>
  </si>
  <si>
    <t>ｋＮ</t>
  </si>
  <si>
    <t>ｋＮ</t>
  </si>
  <si>
    <t>Ｓ   ＝Ｓｄ　+　Ｓｌ　+　Ｓｉ</t>
  </si>
  <si>
    <t>ｋＮ</t>
  </si>
  <si>
    <t>=</t>
  </si>
  <si>
    <t xml:space="preserve">       σw  　　＝　</t>
  </si>
  <si>
    <t xml:space="preserve">σa  = </t>
  </si>
  <si>
    <t>∴</t>
  </si>
  <si>
    <t xml:space="preserve">       τw　＝　Ｓ／Ａｗ</t>
  </si>
  <si>
    <t xml:space="preserve">       τw</t>
  </si>
  <si>
    <t>＝</t>
  </si>
  <si>
    <t xml:space="preserve">τa  = </t>
  </si>
  <si>
    <t>∴</t>
  </si>
  <si>
    <t>-2-</t>
  </si>
  <si>
    <t xml:space="preserve"> X   </t>
  </si>
  <si>
    <t>kN/m</t>
  </si>
  <si>
    <t xml:space="preserve"> X   </t>
  </si>
  <si>
    <t>kN/m</t>
  </si>
  <si>
    <t>＝</t>
  </si>
  <si>
    <t>kN/m</t>
  </si>
  <si>
    <t>Ｗ</t>
  </si>
  <si>
    <t>kN/m</t>
  </si>
  <si>
    <t>Ｐ0</t>
  </si>
  <si>
    <t>kN</t>
  </si>
  <si>
    <t>　b1＝</t>
  </si>
  <si>
    <t>＝</t>
  </si>
  <si>
    <t>m</t>
  </si>
  <si>
    <t>　b2＝</t>
  </si>
  <si>
    <t>＝</t>
  </si>
  <si>
    <t>m</t>
  </si>
  <si>
    <t>Ｌ</t>
  </si>
  <si>
    <t>－</t>
  </si>
  <si>
    <t>Ｍ   ＝      Ｍｄ　+　Ｍｌ　+　Ｍｉ</t>
  </si>
  <si>
    <t>Ｓｄ  ＝      １／２　ＷＬ</t>
  </si>
  <si>
    <t>Kn</t>
  </si>
  <si>
    <t>Ｓｌ　＝      P / 4 X ( 5 - 3/L )</t>
  </si>
  <si>
    <t>　　 ＝</t>
  </si>
  <si>
    <t>＝</t>
  </si>
  <si>
    <t>kN</t>
  </si>
  <si>
    <t>-3-</t>
  </si>
  <si>
    <t>kN</t>
  </si>
  <si>
    <t>Ｓ   ＝       Ｓｄ　+　Ｓｌ　+　Ｓｉ</t>
  </si>
  <si>
    <t>㎝</t>
  </si>
  <si>
    <t>ｂ</t>
  </si>
  <si>
    <t xml:space="preserve">       σw  　　＝　</t>
  </si>
  <si>
    <t xml:space="preserve">σa  = </t>
  </si>
  <si>
    <t>∴</t>
  </si>
  <si>
    <t>ａ</t>
  </si>
  <si>
    <t>㎝</t>
  </si>
  <si>
    <t>ｂ</t>
  </si>
  <si>
    <t>Ａw</t>
  </si>
  <si>
    <t xml:space="preserve">       τw</t>
  </si>
  <si>
    <t xml:space="preserve">τa  = </t>
  </si>
  <si>
    <t>∴</t>
  </si>
  <si>
    <r>
      <t>kN/m</t>
    </r>
    <r>
      <rPr>
        <vertAlign val="superscript"/>
        <sz val="10.5"/>
        <rFont val="ＭＳ 明朝"/>
        <family val="1"/>
      </rPr>
      <t>3</t>
    </r>
  </si>
  <si>
    <r>
      <t>kN/m</t>
    </r>
    <r>
      <rPr>
        <vertAlign val="superscript"/>
        <sz val="10.5"/>
        <rFont val="ＭＳ 明朝"/>
        <family val="1"/>
      </rPr>
      <t>3</t>
    </r>
  </si>
  <si>
    <r>
      <t>曲げモ－メント　Ｍd＝１／8・WL</t>
    </r>
    <r>
      <rPr>
        <vertAlign val="superscript"/>
        <sz val="10.5"/>
        <rFont val="ＭＳ 明朝"/>
        <family val="1"/>
      </rPr>
      <t>2</t>
    </r>
  </si>
  <si>
    <r>
      <t xml:space="preserve">2     </t>
    </r>
    <r>
      <rPr>
        <sz val="10.5"/>
        <rFont val="ＭＳ 明朝"/>
        <family val="1"/>
      </rPr>
      <t>＝</t>
    </r>
  </si>
  <si>
    <r>
      <t>N/㎜</t>
    </r>
    <r>
      <rPr>
        <vertAlign val="superscript"/>
        <sz val="10.5"/>
        <rFont val="ＭＳ 明朝"/>
        <family val="1"/>
      </rPr>
      <t>2</t>
    </r>
  </si>
  <si>
    <r>
      <t>N/㎜</t>
    </r>
    <r>
      <rPr>
        <vertAlign val="superscript"/>
        <sz val="10.5"/>
        <rFont val="ＭＳ 明朝"/>
        <family val="1"/>
      </rPr>
      <t>2</t>
    </r>
  </si>
  <si>
    <r>
      <t>2</t>
    </r>
    <r>
      <rPr>
        <sz val="10.5"/>
        <rFont val="ＭＳ 明朝"/>
        <family val="1"/>
      </rPr>
      <t xml:space="preserve">  X  π</t>
    </r>
  </si>
  <si>
    <r>
      <t>N/㎜</t>
    </r>
    <r>
      <rPr>
        <vertAlign val="superscript"/>
        <sz val="10.5"/>
        <rFont val="ＭＳ 明朝"/>
        <family val="1"/>
      </rPr>
      <t>2</t>
    </r>
  </si>
  <si>
    <r>
      <t>㎜</t>
    </r>
    <r>
      <rPr>
        <vertAlign val="superscript"/>
        <sz val="10.5"/>
        <rFont val="ＭＳ 明朝"/>
        <family val="1"/>
      </rPr>
      <t>2</t>
    </r>
  </si>
  <si>
    <r>
      <t>N/㎜</t>
    </r>
    <r>
      <rPr>
        <vertAlign val="superscript"/>
        <sz val="10.5"/>
        <rFont val="ＭＳ 明朝"/>
        <family val="1"/>
      </rPr>
      <t>2</t>
    </r>
  </si>
  <si>
    <t>＝</t>
  </si>
  <si>
    <t>Ｚ　：　断面係数</t>
  </si>
  <si>
    <t xml:space="preserve">       σw　＝　Ｍ／Ｚ</t>
  </si>
  <si>
    <t>（太鼓落とし）</t>
  </si>
  <si>
    <t>Ｚ</t>
  </si>
  <si>
    <t>ｄ</t>
  </si>
  <si>
    <t>Ａw ：　断面積</t>
  </si>
  <si>
    <t>Ｍｌ　＝1.0/ｂ1　×　Ｍｌ’</t>
  </si>
  <si>
    <t>Ｍｉ  ＝Ｍｌ　×　ｉ</t>
  </si>
  <si>
    <t>Ｓｌ　＝1.0/ｂ1　×　Ｓｌ’</t>
  </si>
  <si>
    <r>
      <t>Ｚ　：　断面係数（πd</t>
    </r>
    <r>
      <rPr>
        <vertAlign val="superscript"/>
        <sz val="10.5"/>
        <rFont val="ＭＳ 明朝"/>
        <family val="1"/>
      </rPr>
      <t>3</t>
    </r>
    <r>
      <rPr>
        <sz val="10.5"/>
        <rFont val="ＭＳ 明朝"/>
        <family val="1"/>
      </rPr>
      <t>/32）　×　Ｎ</t>
    </r>
  </si>
  <si>
    <t>Ａw：　１本当り断面積　×　Ｎ</t>
  </si>
  <si>
    <t>Ｍｌ　＝　   1/4　×　P 　×　L</t>
  </si>
  <si>
    <r>
      <t>Ｍｌ　＝　   1.25 / L　×　Ｐ　（ Ｌ / 2 - 0.3 ）</t>
    </r>
    <r>
      <rPr>
        <vertAlign val="superscript"/>
        <sz val="10.5"/>
        <rFont val="ＭＳ 明朝"/>
        <family val="1"/>
      </rPr>
      <t>2</t>
    </r>
  </si>
  <si>
    <t>Ｍｉ  ＝      Ｍｌ　×　ｉ</t>
  </si>
  <si>
    <t>Ｓｉ  ＝       Ｓｌ　×　ｉ</t>
  </si>
  <si>
    <t xml:space="preserve">       σw　＝　Ｍ／Ｚ</t>
  </si>
  <si>
    <t>ｄ</t>
  </si>
  <si>
    <t>＝</t>
  </si>
  <si>
    <t>㎝</t>
  </si>
  <si>
    <t>ｂ</t>
  </si>
  <si>
    <t>Ｚ</t>
  </si>
  <si>
    <t xml:space="preserve">       σw  　　＝　</t>
  </si>
  <si>
    <t xml:space="preserve">σa  = </t>
  </si>
  <si>
    <r>
      <t>N/㎜</t>
    </r>
    <r>
      <rPr>
        <vertAlign val="superscript"/>
        <sz val="10.5"/>
        <rFont val="ＭＳ 明朝"/>
        <family val="1"/>
      </rPr>
      <t>2</t>
    </r>
  </si>
  <si>
    <t>∴</t>
  </si>
  <si>
    <t>Ａw</t>
  </si>
  <si>
    <r>
      <t>㎜</t>
    </r>
    <r>
      <rPr>
        <vertAlign val="superscript"/>
        <sz val="10.5"/>
        <rFont val="ＭＳ 明朝"/>
        <family val="1"/>
      </rPr>
      <t>2</t>
    </r>
  </si>
  <si>
    <t xml:space="preserve">       τw</t>
  </si>
  <si>
    <t xml:space="preserve">τa  = </t>
  </si>
  <si>
    <t>ものとする。</t>
  </si>
  <si>
    <t xml:space="preserve">Ｓ  ＝      </t>
  </si>
  <si>
    <t>kN</t>
  </si>
  <si>
    <t>-5-</t>
  </si>
  <si>
    <t>　　 ＝</t>
  </si>
  <si>
    <t>X</t>
  </si>
  <si>
    <t>＝</t>
  </si>
  <si>
    <t>N・m</t>
  </si>
  <si>
    <t>Ｍ  ＝     　 Ｐ　Ｘ　Ｈ</t>
  </si>
  <si>
    <t>X</t>
  </si>
  <si>
    <t>N・m</t>
  </si>
  <si>
    <t>＝</t>
  </si>
  <si>
    <t xml:space="preserve">       σw  　　＝　</t>
  </si>
  <si>
    <t xml:space="preserve">σa  = </t>
  </si>
  <si>
    <r>
      <t>N/㎜</t>
    </r>
    <r>
      <rPr>
        <vertAlign val="superscript"/>
        <sz val="10.5"/>
        <rFont val="ＭＳ 明朝"/>
        <family val="1"/>
      </rPr>
      <t>2</t>
    </r>
  </si>
  <si>
    <t>∴</t>
  </si>
  <si>
    <t>-6-</t>
  </si>
  <si>
    <t xml:space="preserve">       σw　＝　Ｍ／Ｚ</t>
  </si>
  <si>
    <r>
      <t>Ｚ　：　bh</t>
    </r>
    <r>
      <rPr>
        <vertAlign val="superscript"/>
        <sz val="10.5"/>
        <rFont val="ＭＳ 明朝"/>
        <family val="1"/>
      </rPr>
      <t>2</t>
    </r>
    <r>
      <rPr>
        <sz val="10.5"/>
        <rFont val="ＭＳ 明朝"/>
        <family val="1"/>
      </rPr>
      <t>/6</t>
    </r>
  </si>
  <si>
    <t>Ｚ　</t>
  </si>
  <si>
    <t>Ｍ  ＝       Ｒ　×　ａ</t>
  </si>
  <si>
    <t>　　　 Ｎ   ＝　1.0</t>
  </si>
  <si>
    <t>Ｓｉ ＝Ｓｌ　×　ｉ</t>
  </si>
  <si>
    <t xml:space="preserve">       τw　  ＝　Ｓ／Ａｗ</t>
  </si>
  <si>
    <t>　　上置層・敷成木</t>
  </si>
  <si>
    <t>設計荷重</t>
  </si>
  <si>
    <t>t</t>
  </si>
  <si>
    <t>橋長</t>
  </si>
  <si>
    <t>幅員</t>
  </si>
  <si>
    <t>m</t>
  </si>
  <si>
    <t>上置層厚（土砂・砕石）</t>
  </si>
  <si>
    <t>㎝</t>
  </si>
  <si>
    <t>㎝</t>
  </si>
  <si>
    <t>&lt;主桁&gt;</t>
  </si>
  <si>
    <t>主桁上幅</t>
  </si>
  <si>
    <t>主桁間隔</t>
  </si>
  <si>
    <t>㎝</t>
  </si>
  <si>
    <t>㎝</t>
  </si>
  <si>
    <t>m</t>
  </si>
  <si>
    <t>許容曲げ応力度（σa）</t>
  </si>
  <si>
    <t>許容剪断応力度（τa）</t>
  </si>
  <si>
    <t>木道路橋設計示方書案（昭和15年11月内務省）による</t>
  </si>
  <si>
    <t>名称</t>
  </si>
  <si>
    <t>単位</t>
  </si>
  <si>
    <t>数量</t>
  </si>
  <si>
    <r>
      <t>Ｎ/㎜</t>
    </r>
    <r>
      <rPr>
        <vertAlign val="superscript"/>
        <sz val="10.5"/>
        <rFont val="ＭＳ 明朝"/>
        <family val="1"/>
      </rPr>
      <t>2</t>
    </r>
  </si>
  <si>
    <t>Ｌ＝４．０</t>
  </si>
  <si>
    <t>　　（a）　死荷重（DeadLoad)</t>
  </si>
  <si>
    <t>　　（a）　死荷重（DeadLoad)</t>
  </si>
  <si>
    <t>　　（b）　活荷重（LiveLoad)</t>
  </si>
  <si>
    <t>　　（b）　活荷重（LiveLoad)</t>
  </si>
  <si>
    <t>　活荷重が４５°の角度で主桁に伝達されるものとし，その範囲にある主桁で荷重を分担する。</t>
  </si>
  <si>
    <t>∴</t>
  </si>
  <si>
    <t>Ｐ</t>
  </si>
  <si>
    <t>＝</t>
  </si>
  <si>
    <t>kN</t>
  </si>
  <si>
    <t>-4-</t>
  </si>
  <si>
    <t xml:space="preserve">X   2 </t>
  </si>
  <si>
    <t>　　1．　設計条件</t>
  </si>
  <si>
    <t>　　２．　床版（敷成木）の設計</t>
  </si>
  <si>
    <t>　　2.1　荷重</t>
  </si>
  <si>
    <t>　　2.2　敷成木に作用する曲げモ－メント</t>
  </si>
  <si>
    <t>　　2.3　敷成木に作用する剪断力</t>
  </si>
  <si>
    <t>　　2.4　応力度の検討</t>
  </si>
  <si>
    <t>　　３．　主桁の設計</t>
  </si>
  <si>
    <t>　　3.1　荷重</t>
  </si>
  <si>
    <t>　　3.2　主桁に作用する曲げモ－メント</t>
  </si>
  <si>
    <t>　　3.3　主桁に作用する剪断力</t>
  </si>
  <si>
    <t>　　3.4　応力度の検討</t>
  </si>
  <si>
    <t>　  ＝</t>
  </si>
  <si>
    <t>Ｐ   ＝      　柱間隔　×　294N/ｍ</t>
  </si>
  <si>
    <t>　　５．　高欄の設計</t>
  </si>
  <si>
    <t>　　5.1　荷重</t>
  </si>
  <si>
    <t>　　5.2　高欄に作用する曲げモ－メント</t>
  </si>
  <si>
    <t>　　5.3　応力度の検討</t>
  </si>
  <si>
    <t>　　４．　台持木の設計</t>
  </si>
  <si>
    <t>　　4.1　荷重</t>
  </si>
  <si>
    <t>　　4.2　台持木に作用する曲げモ－メント</t>
  </si>
  <si>
    <t>　　4.3　台持木に作用する剪断力</t>
  </si>
  <si>
    <t>　　4.4　応力度の検討</t>
  </si>
  <si>
    <t>　　丸太橋設計計算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</si>
</sst>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\ #,##0;&quot;\&quot;\ \-#,##0"/>
    <numFmt numFmtId="177" formatCode="&quot;\&quot;\ #,##0;[Red]&quot;\&quot;\ \-#,##0"/>
    <numFmt numFmtId="178" formatCode="&quot;\&quot;\ #,##0.00;&quot;\&quot;\ \-#,##0.00"/>
    <numFmt numFmtId="179" formatCode="&quot;\&quot;\ #,##0.00;[Red]&quot;\&quot;\ \-#,##0.00"/>
    <numFmt numFmtId="180" formatCode="_ &quot;\&quot;\ * #,##0_ ;_ &quot;\&quot;\ * \-#,##0_ ;_ &quot;\&quot;\ * &quot;-&quot;_ ;_ @_ "/>
    <numFmt numFmtId="181" formatCode="_ &quot;\&quot;\ * #,##0.00_ ;_ &quot;\&quot;\ * \-#,##0.00_ ;_ &quot;\&quot;\ * &quot;-&quot;??_ ;_ @_ "/>
    <numFmt numFmtId="182" formatCode="&quot;\&quot;&quot;\&quot;\!\ #,##0;[Red]&quot;\&quot;&quot;\&quot;\!\ &quot;\&quot;\!\-#,##0"/>
    <numFmt numFmtId="183" formatCode="&quot;\&quot;&quot;\&quot;\!\ #,##0.00;[Red]&quot;\&quot;&quot;\&quot;\!\ &quot;\&quot;\!\-#,##0.00"/>
    <numFmt numFmtId="184" formatCode="0.0"/>
    <numFmt numFmtId="185" formatCode="#,##0.0;[Red]&quot;\&quot;\!\-#,##0.0"/>
    <numFmt numFmtId="186" formatCode="0.00_);[Red]&quot;\&quot;\!\(0.00&quot;\&quot;\!\)"/>
    <numFmt numFmtId="187" formatCode="#\!\ ?/8"/>
    <numFmt numFmtId="188" formatCode="#0.00&quot;  &quot;&quot;X&quot;"/>
    <numFmt numFmtId="189" formatCode="&quot;+ &quot;#0.00"/>
    <numFmt numFmtId="190" formatCode="&quot;+ &quot;#0.00\ "/>
    <numFmt numFmtId="191" formatCode="#0&quot;  =&quot;"/>
    <numFmt numFmtId="192" formatCode="##0&quot;  =&quot;"/>
    <numFmt numFmtId="193" formatCode="&quot;(  &quot;#0.00"/>
    <numFmt numFmtId="194" formatCode="&quot;( &quot;#0.00&quot; -&quot;"/>
    <numFmt numFmtId="195" formatCode="0.00_);[Red]\(0.00\)"/>
    <numFmt numFmtId="196" formatCode="0.00000"/>
    <numFmt numFmtId="197" formatCode="#,##0.00;[Red]&quot;\&quot;\!\-#,##0.00"/>
    <numFmt numFmtId="198" formatCode="0.000"/>
    <numFmt numFmtId="199" formatCode="_ * #,##0.00_ ;_ * \-#,##0.00_ ;_ * &quot; &quot;??_ ;_ @_ "/>
    <numFmt numFmtId="200" formatCode="_ * #,##0.000_ ;_ * \-#,##0.000_ ;_ * &quot; &quot;??_ ;_ @_ "/>
    <numFmt numFmtId="201" formatCode="_ * #,##0.0_ ;_ * \-#,##0.0_ ;_ * &quot; &quot;??_ ;_ @_ "/>
    <numFmt numFmtId="202" formatCode="0.0000"/>
  </numFmts>
  <fonts count="18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明朝"/>
      <family val="1"/>
    </font>
    <font>
      <vertAlign val="superscript"/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Ｐゴシック"/>
      <family val="3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 quotePrefix="1">
      <alignment horizontal="center"/>
    </xf>
    <xf numFmtId="191" fontId="0" fillId="2" borderId="0" xfId="0" applyNumberFormat="1" applyFill="1" applyAlignment="1">
      <alignment horizontal="left"/>
    </xf>
    <xf numFmtId="0" fontId="0" fillId="2" borderId="0" xfId="0" applyNumberFormat="1" applyFill="1" applyAlignment="1">
      <alignment horizontal="center"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 horizontal="center"/>
    </xf>
    <xf numFmtId="1" fontId="0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 vertical="top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85" fontId="12" fillId="2" borderId="0" xfId="17" applyNumberFormat="1" applyFont="1" applyFill="1" applyAlignment="1">
      <alignment/>
    </xf>
    <xf numFmtId="184" fontId="12" fillId="2" borderId="0" xfId="0" applyNumberFormat="1" applyFont="1" applyFill="1" applyAlignment="1">
      <alignment/>
    </xf>
    <xf numFmtId="0" fontId="12" fillId="2" borderId="0" xfId="0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186" fontId="12" fillId="2" borderId="0" xfId="0" applyNumberFormat="1" applyFont="1" applyFill="1" applyAlignment="1">
      <alignment horizontal="center"/>
    </xf>
    <xf numFmtId="186" fontId="12" fillId="2" borderId="0" xfId="0" applyNumberFormat="1" applyFont="1" applyFill="1" applyAlignment="1">
      <alignment horizontal="right"/>
    </xf>
    <xf numFmtId="12" fontId="12" fillId="2" borderId="0" xfId="0" applyNumberFormat="1" applyFont="1" applyFill="1" applyAlignment="1">
      <alignment/>
    </xf>
    <xf numFmtId="187" fontId="12" fillId="2" borderId="0" xfId="0" applyNumberFormat="1" applyFont="1" applyFill="1" applyAlignment="1">
      <alignment/>
    </xf>
    <xf numFmtId="2" fontId="12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vertical="top"/>
    </xf>
    <xf numFmtId="2" fontId="12" fillId="2" borderId="0" xfId="0" applyNumberFormat="1" applyFont="1" applyFill="1" applyAlignment="1">
      <alignment horizontal="center"/>
    </xf>
    <xf numFmtId="189" fontId="12" fillId="2" borderId="0" xfId="0" applyNumberFormat="1" applyFont="1" applyFill="1" applyAlignment="1">
      <alignment horizontal="center"/>
    </xf>
    <xf numFmtId="190" fontId="12" fillId="2" borderId="0" xfId="0" applyNumberFormat="1" applyFont="1" applyFill="1" applyAlignment="1">
      <alignment horizontal="center"/>
    </xf>
    <xf numFmtId="0" fontId="12" fillId="2" borderId="0" xfId="0" applyNumberFormat="1" applyFont="1" applyFill="1" applyAlignment="1" quotePrefix="1">
      <alignment/>
    </xf>
    <xf numFmtId="193" fontId="12" fillId="2" borderId="0" xfId="0" applyNumberFormat="1" applyFont="1" applyFill="1" applyAlignment="1">
      <alignment/>
    </xf>
    <xf numFmtId="0" fontId="12" fillId="2" borderId="0" xfId="0" applyFont="1" applyFill="1" applyAlignment="1" quotePrefix="1">
      <alignment/>
    </xf>
    <xf numFmtId="0" fontId="12" fillId="2" borderId="0" xfId="0" applyNumberFormat="1" applyFont="1" applyFill="1" applyAlignment="1">
      <alignment/>
    </xf>
    <xf numFmtId="0" fontId="12" fillId="2" borderId="0" xfId="0" applyFont="1" applyFill="1" applyAlignment="1" quotePrefix="1">
      <alignment horizontal="center"/>
    </xf>
    <xf numFmtId="49" fontId="12" fillId="2" borderId="0" xfId="0" applyNumberFormat="1" applyFont="1" applyFill="1" applyAlignment="1">
      <alignment horizontal="center"/>
    </xf>
    <xf numFmtId="186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 quotePrefix="1">
      <alignment horizontal="center"/>
    </xf>
    <xf numFmtId="188" fontId="12" fillId="2" borderId="0" xfId="0" applyNumberFormat="1" applyFont="1" applyFill="1" applyAlignment="1">
      <alignment horizontal="left"/>
    </xf>
    <xf numFmtId="194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184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/>
    </xf>
    <xf numFmtId="191" fontId="12" fillId="2" borderId="0" xfId="0" applyNumberFormat="1" applyFont="1" applyFill="1" applyAlignment="1">
      <alignment horizontal="left"/>
    </xf>
    <xf numFmtId="2" fontId="12" fillId="2" borderId="0" xfId="0" applyNumberFormat="1" applyFont="1" applyFill="1" applyAlignment="1">
      <alignment/>
    </xf>
    <xf numFmtId="192" fontId="12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/>
    </xf>
    <xf numFmtId="185" fontId="12" fillId="2" borderId="0" xfId="17" applyNumberFormat="1" applyFont="1" applyFill="1" applyAlignment="1">
      <alignment horizontal="center"/>
    </xf>
    <xf numFmtId="0" fontId="13" fillId="2" borderId="0" xfId="0" applyFont="1" applyFill="1" applyAlignment="1">
      <alignment horizontal="left"/>
    </xf>
    <xf numFmtId="196" fontId="12" fillId="2" borderId="0" xfId="0" applyNumberFormat="1" applyFont="1" applyFill="1" applyAlignment="1">
      <alignment/>
    </xf>
    <xf numFmtId="185" fontId="12" fillId="2" borderId="0" xfId="17" applyNumberFormat="1" applyFont="1" applyFill="1" applyAlignment="1">
      <alignment horizontal="left"/>
    </xf>
    <xf numFmtId="197" fontId="12" fillId="2" borderId="0" xfId="17" applyNumberFormat="1" applyFont="1" applyFill="1" applyAlignment="1">
      <alignment/>
    </xf>
    <xf numFmtId="195" fontId="12" fillId="2" borderId="0" xfId="0" applyNumberFormat="1" applyFont="1" applyFill="1" applyAlignment="1">
      <alignment horizontal="left"/>
    </xf>
    <xf numFmtId="195" fontId="12" fillId="2" borderId="0" xfId="0" applyNumberFormat="1" applyFont="1" applyFill="1" applyAlignment="1">
      <alignment horizontal="right"/>
    </xf>
    <xf numFmtId="198" fontId="12" fillId="2" borderId="0" xfId="0" applyNumberFormat="1" applyFont="1" applyFill="1" applyAlignment="1">
      <alignment/>
    </xf>
    <xf numFmtId="0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10" fillId="3" borderId="0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4" borderId="4" xfId="0" applyNumberFormat="1" applyFont="1" applyFill="1" applyBorder="1" applyAlignment="1">
      <alignment horizontal="center"/>
    </xf>
    <xf numFmtId="0" fontId="12" fillId="4" borderId="3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3" borderId="2" xfId="0" applyFont="1" applyFill="1" applyBorder="1" applyAlignment="1">
      <alignment/>
    </xf>
    <xf numFmtId="0" fontId="15" fillId="3" borderId="0" xfId="0" applyFont="1" applyFill="1" applyBorder="1" applyAlignment="1">
      <alignment horizontal="left" vertical="top"/>
    </xf>
    <xf numFmtId="0" fontId="16" fillId="3" borderId="0" xfId="0" applyFont="1" applyFill="1" applyBorder="1" applyAlignment="1">
      <alignment horizontal="left" vertical="top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2" fontId="17" fillId="2" borderId="0" xfId="0" applyNumberFormat="1" applyFont="1" applyFill="1" applyAlignment="1">
      <alignment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right"/>
    </xf>
    <xf numFmtId="0" fontId="12" fillId="0" borderId="1" xfId="0" applyNumberFormat="1" applyFont="1" applyFill="1" applyBorder="1" applyAlignment="1">
      <alignment horizontal="center"/>
    </xf>
    <xf numFmtId="0" fontId="12" fillId="0" borderId="4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4" borderId="1" xfId="0" applyNumberFormat="1" applyFont="1" applyFill="1" applyBorder="1" applyAlignment="1">
      <alignment horizontal="center"/>
    </xf>
    <xf numFmtId="0" fontId="12" fillId="4" borderId="4" xfId="0" applyNumberFormat="1" applyFont="1" applyFill="1" applyBorder="1" applyAlignment="1">
      <alignment horizontal="center"/>
    </xf>
    <xf numFmtId="0" fontId="12" fillId="4" borderId="3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0" xfId="0" applyFill="1" applyBorder="1" applyAlignment="1">
      <alignment horizontal="center" vertical="top"/>
    </xf>
    <xf numFmtId="0" fontId="12" fillId="3" borderId="4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12" fillId="0" borderId="3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4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2</xdr:row>
      <xdr:rowOff>123825</xdr:rowOff>
    </xdr:from>
    <xdr:to>
      <xdr:col>18</xdr:col>
      <xdr:colOff>257175</xdr:colOff>
      <xdr:row>10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466725"/>
          <a:ext cx="3924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333375</xdr:colOff>
      <xdr:row>25</xdr:row>
      <xdr:rowOff>9525</xdr:rowOff>
    </xdr:from>
    <xdr:to>
      <xdr:col>11</xdr:col>
      <xdr:colOff>323850</xdr:colOff>
      <xdr:row>40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4714875"/>
          <a:ext cx="53530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188</xdr:row>
      <xdr:rowOff>38100</xdr:rowOff>
    </xdr:from>
    <xdr:to>
      <xdr:col>10</xdr:col>
      <xdr:colOff>466725</xdr:colOff>
      <xdr:row>199</xdr:row>
      <xdr:rowOff>123825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927925"/>
          <a:ext cx="3133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1</xdr:row>
      <xdr:rowOff>76200</xdr:rowOff>
    </xdr:from>
    <xdr:to>
      <xdr:col>11</xdr:col>
      <xdr:colOff>190500</xdr:colOff>
      <xdr:row>14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47650"/>
          <a:ext cx="3352800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29</xdr:row>
      <xdr:rowOff>28575</xdr:rowOff>
    </xdr:from>
    <xdr:to>
      <xdr:col>10</xdr:col>
      <xdr:colOff>409575</xdr:colOff>
      <xdr:row>40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114925"/>
          <a:ext cx="31337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1</xdr:row>
      <xdr:rowOff>28575</xdr:rowOff>
    </xdr:from>
    <xdr:to>
      <xdr:col>10</xdr:col>
      <xdr:colOff>495300</xdr:colOff>
      <xdr:row>13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00025"/>
          <a:ext cx="28479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3"/>
  <sheetViews>
    <sheetView workbookViewId="0" topLeftCell="A7">
      <selection activeCell="H18" sqref="H18:L18"/>
    </sheetView>
  </sheetViews>
  <sheetFormatPr defaultColWidth="9.00390625" defaultRowHeight="13.5"/>
  <cols>
    <col min="1" max="1" width="12.625" style="0" customWidth="1"/>
    <col min="2" max="7" width="6.75390625" style="0" customWidth="1"/>
    <col min="8" max="8" width="1.625" style="0" customWidth="1"/>
    <col min="9" max="9" width="9.625" style="0" customWidth="1"/>
    <col min="10" max="10" width="2.625" style="0" customWidth="1"/>
    <col min="11" max="11" width="1.625" style="0" customWidth="1"/>
    <col min="12" max="12" width="9.625" style="0" customWidth="1"/>
    <col min="13" max="13" width="6.625" style="0" customWidth="1"/>
    <col min="14" max="14" width="12.625" style="0" customWidth="1"/>
  </cols>
  <sheetData>
    <row r="1" spans="1:21" ht="13.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7.25">
      <c r="A3" s="10" t="s">
        <v>298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75"/>
      <c r="B4" s="75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9.5" customHeight="1">
      <c r="A5" s="12"/>
      <c r="B5" s="13"/>
      <c r="C5" s="12"/>
      <c r="D5" s="18" t="s">
        <v>7</v>
      </c>
      <c r="E5" s="108" t="s">
        <v>264</v>
      </c>
      <c r="F5" s="109"/>
      <c r="G5" s="109"/>
      <c r="H5" s="109"/>
      <c r="I5" s="109"/>
      <c r="J5" s="109"/>
      <c r="K5" s="109"/>
      <c r="L5" s="110"/>
      <c r="M5" s="12"/>
      <c r="N5" s="12"/>
      <c r="O5" s="12"/>
      <c r="P5" s="12"/>
      <c r="Q5" s="12"/>
      <c r="R5" s="12"/>
      <c r="S5" s="12"/>
      <c r="T5" s="12"/>
      <c r="U5" s="12"/>
    </row>
    <row r="6" spans="1:21" s="1" customFormat="1" ht="16.5" customHeight="1">
      <c r="A6" s="90" t="s">
        <v>276</v>
      </c>
      <c r="B6" s="91"/>
      <c r="C6" s="15"/>
      <c r="D6" s="111"/>
      <c r="E6" s="11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" customFormat="1" ht="16.5" customHeight="1">
      <c r="A7" s="14"/>
      <c r="B7" s="16"/>
      <c r="C7" s="16"/>
      <c r="D7" s="76" t="s">
        <v>259</v>
      </c>
      <c r="E7" s="2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15.75" customHeight="1">
      <c r="A8" s="12"/>
      <c r="B8" s="100" t="s">
        <v>260</v>
      </c>
      <c r="C8" s="112"/>
      <c r="D8" s="112"/>
      <c r="E8" s="112"/>
      <c r="F8" s="113"/>
      <c r="G8" s="77" t="s">
        <v>261</v>
      </c>
      <c r="H8" s="100" t="s">
        <v>262</v>
      </c>
      <c r="I8" s="101"/>
      <c r="J8" s="101"/>
      <c r="K8" s="101"/>
      <c r="L8" s="102"/>
      <c r="M8" s="12"/>
      <c r="N8" s="12"/>
      <c r="O8" s="12"/>
      <c r="P8" s="12"/>
      <c r="Q8" s="12"/>
      <c r="R8" s="12"/>
      <c r="S8" s="12"/>
      <c r="T8" s="12"/>
      <c r="U8" s="12"/>
    </row>
    <row r="9" spans="1:21" ht="15.75" customHeight="1">
      <c r="A9" s="12"/>
      <c r="B9" s="100" t="s">
        <v>243</v>
      </c>
      <c r="C9" s="101"/>
      <c r="D9" s="101"/>
      <c r="E9" s="101"/>
      <c r="F9" s="102"/>
      <c r="G9" s="77" t="s">
        <v>244</v>
      </c>
      <c r="H9" s="103">
        <v>6</v>
      </c>
      <c r="I9" s="104"/>
      <c r="J9" s="104"/>
      <c r="K9" s="104"/>
      <c r="L9" s="105"/>
      <c r="M9" s="12"/>
      <c r="N9" s="12"/>
      <c r="O9" s="12"/>
      <c r="P9" s="12"/>
      <c r="Q9" s="12"/>
      <c r="R9" s="12"/>
      <c r="S9" s="12"/>
      <c r="T9" s="12"/>
      <c r="U9" s="12"/>
    </row>
    <row r="10" spans="1:21" ht="15.75" customHeight="1">
      <c r="A10" s="12"/>
      <c r="B10" s="100" t="s">
        <v>245</v>
      </c>
      <c r="C10" s="101"/>
      <c r="D10" s="101"/>
      <c r="E10" s="101"/>
      <c r="F10" s="102"/>
      <c r="G10" s="77" t="s">
        <v>95</v>
      </c>
      <c r="H10" s="103">
        <v>4.5</v>
      </c>
      <c r="I10" s="104"/>
      <c r="J10" s="104"/>
      <c r="K10" s="104"/>
      <c r="L10" s="105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5.75" customHeight="1">
      <c r="A11" s="12"/>
      <c r="B11" s="100" t="s">
        <v>44</v>
      </c>
      <c r="C11" s="101"/>
      <c r="D11" s="101"/>
      <c r="E11" s="101"/>
      <c r="F11" s="102"/>
      <c r="G11" s="77" t="s">
        <v>88</v>
      </c>
      <c r="H11" s="103">
        <v>4</v>
      </c>
      <c r="I11" s="104"/>
      <c r="J11" s="104"/>
      <c r="K11" s="104"/>
      <c r="L11" s="105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5.75" customHeight="1">
      <c r="A12" s="12"/>
      <c r="B12" s="100" t="s">
        <v>246</v>
      </c>
      <c r="C12" s="101"/>
      <c r="D12" s="101"/>
      <c r="E12" s="101"/>
      <c r="F12" s="102"/>
      <c r="G12" s="77" t="s">
        <v>247</v>
      </c>
      <c r="H12" s="103">
        <v>4</v>
      </c>
      <c r="I12" s="104"/>
      <c r="J12" s="104"/>
      <c r="K12" s="104"/>
      <c r="L12" s="105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5.75" customHeight="1">
      <c r="A13" s="12"/>
      <c r="B13" s="86" t="s">
        <v>73</v>
      </c>
      <c r="C13" s="87"/>
      <c r="D13" s="87"/>
      <c r="E13" s="87"/>
      <c r="F13" s="88"/>
      <c r="G13" s="77"/>
      <c r="H13" s="83"/>
      <c r="I13" s="84"/>
      <c r="J13" s="84"/>
      <c r="K13" s="84"/>
      <c r="L13" s="85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.75" customHeight="1">
      <c r="A14" s="12"/>
      <c r="B14" s="100" t="s">
        <v>248</v>
      </c>
      <c r="C14" s="101"/>
      <c r="D14" s="101"/>
      <c r="E14" s="101"/>
      <c r="F14" s="102"/>
      <c r="G14" s="77" t="s">
        <v>249</v>
      </c>
      <c r="H14" s="103">
        <v>20</v>
      </c>
      <c r="I14" s="104"/>
      <c r="J14" s="104"/>
      <c r="K14" s="104"/>
      <c r="L14" s="105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.75" customHeight="1">
      <c r="A15" s="12"/>
      <c r="B15" s="100" t="s">
        <v>72</v>
      </c>
      <c r="C15" s="101"/>
      <c r="D15" s="101"/>
      <c r="E15" s="101"/>
      <c r="F15" s="102"/>
      <c r="G15" s="77" t="s">
        <v>250</v>
      </c>
      <c r="H15" s="103">
        <v>10</v>
      </c>
      <c r="I15" s="104"/>
      <c r="J15" s="104"/>
      <c r="K15" s="104"/>
      <c r="L15" s="105"/>
      <c r="M15" s="12"/>
      <c r="N15" s="22" t="str">
        <f>"←     "&amp;'1.床版　2.主桁'!$I$103</f>
        <v>←     OK</v>
      </c>
      <c r="O15" s="12"/>
      <c r="P15" s="12"/>
      <c r="Q15" s="12"/>
      <c r="R15" s="12"/>
      <c r="S15" s="12"/>
      <c r="T15" s="12"/>
      <c r="U15" s="12"/>
    </row>
    <row r="16" spans="1:21" ht="15.75" customHeight="1">
      <c r="A16" s="12"/>
      <c r="B16" s="86" t="s">
        <v>251</v>
      </c>
      <c r="C16" s="87"/>
      <c r="D16" s="87"/>
      <c r="E16" s="87"/>
      <c r="F16" s="88"/>
      <c r="G16" s="77"/>
      <c r="H16" s="83"/>
      <c r="I16" s="84"/>
      <c r="J16" s="84"/>
      <c r="K16" s="84"/>
      <c r="L16" s="85"/>
      <c r="M16" s="12"/>
      <c r="N16" s="20"/>
      <c r="O16" s="12"/>
      <c r="P16" s="12"/>
      <c r="Q16" s="12"/>
      <c r="R16" s="12"/>
      <c r="S16" s="12"/>
      <c r="T16" s="12"/>
      <c r="U16" s="12"/>
    </row>
    <row r="17" spans="1:21" ht="15.75" customHeight="1">
      <c r="A17" s="12"/>
      <c r="B17" s="100" t="s">
        <v>50</v>
      </c>
      <c r="C17" s="101"/>
      <c r="D17" s="101"/>
      <c r="E17" s="101"/>
      <c r="F17" s="102"/>
      <c r="G17" s="77" t="s">
        <v>250</v>
      </c>
      <c r="H17" s="103">
        <v>37</v>
      </c>
      <c r="I17" s="104"/>
      <c r="J17" s="104"/>
      <c r="K17" s="104"/>
      <c r="L17" s="105"/>
      <c r="M17" s="12"/>
      <c r="N17" s="22" t="str">
        <f>"← 　　"&amp;'1.床版　2.主桁'!$I$205</f>
        <v>← 　　OK</v>
      </c>
      <c r="O17" s="12"/>
      <c r="P17" s="12"/>
      <c r="Q17" s="12"/>
      <c r="R17" s="12"/>
      <c r="S17" s="12"/>
      <c r="T17" s="12"/>
      <c r="U17" s="12"/>
    </row>
    <row r="18" spans="1:21" ht="15.75" customHeight="1">
      <c r="A18" s="12"/>
      <c r="B18" s="100" t="s">
        <v>252</v>
      </c>
      <c r="C18" s="101"/>
      <c r="D18" s="101"/>
      <c r="E18" s="101"/>
      <c r="F18" s="102"/>
      <c r="G18" s="77" t="s">
        <v>250</v>
      </c>
      <c r="H18" s="97">
        <f>ROUND(H17*0.5,0)</f>
        <v>19</v>
      </c>
      <c r="I18" s="98"/>
      <c r="J18" s="98"/>
      <c r="K18" s="98"/>
      <c r="L18" s="114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.75" customHeight="1">
      <c r="A19" s="12"/>
      <c r="B19" s="100" t="s">
        <v>253</v>
      </c>
      <c r="C19" s="101"/>
      <c r="D19" s="101"/>
      <c r="E19" s="101"/>
      <c r="F19" s="102"/>
      <c r="G19" s="77" t="s">
        <v>250</v>
      </c>
      <c r="H19" s="103">
        <v>85</v>
      </c>
      <c r="I19" s="104"/>
      <c r="J19" s="104"/>
      <c r="K19" s="104"/>
      <c r="L19" s="105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.75" customHeight="1">
      <c r="A20" s="12"/>
      <c r="B20" s="86" t="s">
        <v>51</v>
      </c>
      <c r="C20" s="78"/>
      <c r="D20" s="78"/>
      <c r="E20" s="78"/>
      <c r="F20" s="79"/>
      <c r="G20" s="77"/>
      <c r="H20" s="97"/>
      <c r="I20" s="98"/>
      <c r="J20" s="98"/>
      <c r="K20" s="98"/>
      <c r="L20" s="99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.75" customHeight="1">
      <c r="A21" s="12"/>
      <c r="B21" s="100" t="s">
        <v>45</v>
      </c>
      <c r="C21" s="101"/>
      <c r="D21" s="101"/>
      <c r="E21" s="101"/>
      <c r="F21" s="102"/>
      <c r="G21" s="77" t="s">
        <v>88</v>
      </c>
      <c r="H21" s="103"/>
      <c r="I21" s="104"/>
      <c r="J21" s="104"/>
      <c r="K21" s="104"/>
      <c r="L21" s="105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.75" customHeight="1">
      <c r="A22" s="12"/>
      <c r="B22" s="100" t="s">
        <v>49</v>
      </c>
      <c r="C22" s="101"/>
      <c r="D22" s="101"/>
      <c r="E22" s="101"/>
      <c r="F22" s="102"/>
      <c r="G22" s="77" t="s">
        <v>254</v>
      </c>
      <c r="H22" s="103"/>
      <c r="I22" s="104"/>
      <c r="J22" s="104"/>
      <c r="K22" s="104"/>
      <c r="L22" s="105"/>
      <c r="M22" s="12"/>
      <c r="N22" s="22"/>
      <c r="O22" s="12"/>
      <c r="P22" s="12"/>
      <c r="Q22" s="12"/>
      <c r="R22" s="12"/>
      <c r="S22" s="12"/>
      <c r="T22" s="12"/>
      <c r="U22" s="12"/>
    </row>
    <row r="23" spans="1:21" ht="15.75" customHeight="1">
      <c r="A23" s="12"/>
      <c r="B23" s="86" t="s">
        <v>52</v>
      </c>
      <c r="C23" s="78"/>
      <c r="D23" s="78"/>
      <c r="E23" s="78"/>
      <c r="F23" s="79"/>
      <c r="G23" s="77"/>
      <c r="H23" s="97"/>
      <c r="I23" s="98"/>
      <c r="J23" s="98"/>
      <c r="K23" s="98"/>
      <c r="L23" s="99"/>
      <c r="M23" s="12"/>
      <c r="N23" s="22"/>
      <c r="O23" s="12"/>
      <c r="P23" s="12"/>
      <c r="Q23" s="12"/>
      <c r="R23" s="12"/>
      <c r="S23" s="12"/>
      <c r="T23" s="12"/>
      <c r="U23" s="12"/>
    </row>
    <row r="24" spans="1:21" ht="15.75" customHeight="1">
      <c r="A24" s="12"/>
      <c r="B24" s="100" t="s">
        <v>53</v>
      </c>
      <c r="C24" s="101"/>
      <c r="D24" s="101"/>
      <c r="E24" s="101"/>
      <c r="F24" s="102"/>
      <c r="G24" s="77" t="s">
        <v>255</v>
      </c>
      <c r="H24" s="80" t="s">
        <v>56</v>
      </c>
      <c r="I24" s="81">
        <v>12</v>
      </c>
      <c r="J24" s="81" t="s">
        <v>55</v>
      </c>
      <c r="K24" s="81" t="s">
        <v>57</v>
      </c>
      <c r="L24" s="82">
        <v>12</v>
      </c>
      <c r="M24" s="12"/>
      <c r="N24" s="22"/>
      <c r="O24" s="12"/>
      <c r="P24" s="12"/>
      <c r="Q24" s="12"/>
      <c r="R24" s="12"/>
      <c r="S24" s="12"/>
      <c r="T24" s="12"/>
      <c r="U24" s="12"/>
    </row>
    <row r="25" spans="1:21" ht="15.75" customHeight="1">
      <c r="A25" s="12"/>
      <c r="B25" s="100" t="s">
        <v>54</v>
      </c>
      <c r="C25" s="101"/>
      <c r="D25" s="101"/>
      <c r="E25" s="101"/>
      <c r="F25" s="102"/>
      <c r="G25" s="77" t="s">
        <v>256</v>
      </c>
      <c r="H25" s="103">
        <v>1.5</v>
      </c>
      <c r="I25" s="104"/>
      <c r="J25" s="104"/>
      <c r="K25" s="104"/>
      <c r="L25" s="105"/>
      <c r="M25" s="12"/>
      <c r="N25" s="22"/>
      <c r="O25" s="12"/>
      <c r="P25" s="12"/>
      <c r="Q25" s="12"/>
      <c r="R25" s="12"/>
      <c r="S25" s="12"/>
      <c r="T25" s="12"/>
      <c r="U25" s="12"/>
    </row>
    <row r="26" spans="1:21" ht="15.75" customHeight="1">
      <c r="A26" s="12"/>
      <c r="B26" s="100" t="s">
        <v>58</v>
      </c>
      <c r="C26" s="101"/>
      <c r="D26" s="101"/>
      <c r="E26" s="101"/>
      <c r="F26" s="102"/>
      <c r="G26" s="77" t="s">
        <v>256</v>
      </c>
      <c r="H26" s="103">
        <v>1.2</v>
      </c>
      <c r="I26" s="104"/>
      <c r="J26" s="104"/>
      <c r="K26" s="104"/>
      <c r="L26" s="105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.75" customHeight="1">
      <c r="A27" s="12"/>
      <c r="B27" s="118"/>
      <c r="C27" s="112"/>
      <c r="D27" s="112"/>
      <c r="E27" s="112"/>
      <c r="F27" s="113"/>
      <c r="G27" s="89"/>
      <c r="H27" s="115"/>
      <c r="I27" s="116"/>
      <c r="J27" s="116"/>
      <c r="K27" s="116"/>
      <c r="L27" s="117"/>
      <c r="M27" s="12"/>
      <c r="N27" s="106" t="s">
        <v>5</v>
      </c>
      <c r="O27" s="107"/>
      <c r="P27" s="18" t="s">
        <v>2</v>
      </c>
      <c r="Q27" s="18" t="s">
        <v>3</v>
      </c>
      <c r="R27" s="12"/>
      <c r="S27" s="12"/>
      <c r="T27" s="12"/>
      <c r="U27" s="12"/>
    </row>
    <row r="28" spans="1:21" ht="15.75" customHeight="1">
      <c r="A28" s="12"/>
      <c r="B28" s="100" t="s">
        <v>257</v>
      </c>
      <c r="C28" s="101"/>
      <c r="D28" s="101"/>
      <c r="E28" s="101"/>
      <c r="F28" s="102"/>
      <c r="G28" s="77" t="s">
        <v>263</v>
      </c>
      <c r="H28" s="103">
        <v>8.8</v>
      </c>
      <c r="I28" s="104"/>
      <c r="J28" s="104"/>
      <c r="K28" s="104"/>
      <c r="L28" s="105"/>
      <c r="M28" s="12"/>
      <c r="N28" s="17" t="s">
        <v>0</v>
      </c>
      <c r="O28" s="19" t="s">
        <v>4</v>
      </c>
      <c r="P28" s="18">
        <v>8.8</v>
      </c>
      <c r="Q28" s="18">
        <v>11.8</v>
      </c>
      <c r="R28" s="12"/>
      <c r="S28" s="12"/>
      <c r="T28" s="12"/>
      <c r="U28" s="12"/>
    </row>
    <row r="29" spans="1:21" ht="15.75" customHeight="1">
      <c r="A29" s="12"/>
      <c r="B29" s="100" t="s">
        <v>258</v>
      </c>
      <c r="C29" s="101"/>
      <c r="D29" s="101"/>
      <c r="E29" s="101"/>
      <c r="F29" s="102"/>
      <c r="G29" s="77" t="s">
        <v>263</v>
      </c>
      <c r="H29" s="103">
        <v>0.8</v>
      </c>
      <c r="I29" s="104"/>
      <c r="J29" s="104"/>
      <c r="K29" s="104"/>
      <c r="L29" s="105"/>
      <c r="M29" s="12"/>
      <c r="N29" s="17" t="s">
        <v>1</v>
      </c>
      <c r="O29" s="19" t="s">
        <v>4</v>
      </c>
      <c r="P29" s="18">
        <v>0.8</v>
      </c>
      <c r="Q29" s="18">
        <v>1.2</v>
      </c>
      <c r="R29" s="12"/>
      <c r="S29" s="12"/>
      <c r="T29" s="12"/>
      <c r="U29" s="12"/>
    </row>
    <row r="30" spans="1:21" ht="15.75" customHeight="1">
      <c r="A30" s="12"/>
      <c r="B30" s="118"/>
      <c r="C30" s="112"/>
      <c r="D30" s="112"/>
      <c r="E30" s="112"/>
      <c r="F30" s="113"/>
      <c r="G30" s="89"/>
      <c r="H30" s="115"/>
      <c r="I30" s="116"/>
      <c r="J30" s="116"/>
      <c r="K30" s="116"/>
      <c r="L30" s="117"/>
      <c r="M30" s="12"/>
      <c r="N30" s="12"/>
      <c r="O30" s="12"/>
      <c r="P30" s="21" t="s">
        <v>6</v>
      </c>
      <c r="Q30" s="21"/>
      <c r="R30" s="21"/>
      <c r="S30" s="12"/>
      <c r="T30" s="12"/>
      <c r="U30" s="12"/>
    </row>
    <row r="31" spans="1:21" ht="13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3.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3.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3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3.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3.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3.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3.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3.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3.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3.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3.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3.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3.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</sheetData>
  <mergeCells count="42">
    <mergeCell ref="B26:F26"/>
    <mergeCell ref="H26:L26"/>
    <mergeCell ref="H27:L27"/>
    <mergeCell ref="H30:L30"/>
    <mergeCell ref="B30:F30"/>
    <mergeCell ref="H28:L28"/>
    <mergeCell ref="H29:L29"/>
    <mergeCell ref="B27:F27"/>
    <mergeCell ref="B28:F28"/>
    <mergeCell ref="B29:F29"/>
    <mergeCell ref="H15:L15"/>
    <mergeCell ref="H18:L18"/>
    <mergeCell ref="H19:L19"/>
    <mergeCell ref="H10:L10"/>
    <mergeCell ref="H11:L11"/>
    <mergeCell ref="H12:L12"/>
    <mergeCell ref="H14:L14"/>
    <mergeCell ref="H17:L17"/>
    <mergeCell ref="D6:E6"/>
    <mergeCell ref="H8:L8"/>
    <mergeCell ref="B8:F8"/>
    <mergeCell ref="B9:F9"/>
    <mergeCell ref="H9:L9"/>
    <mergeCell ref="N27:O27"/>
    <mergeCell ref="E5:L5"/>
    <mergeCell ref="B10:F10"/>
    <mergeCell ref="B11:F11"/>
    <mergeCell ref="B12:F12"/>
    <mergeCell ref="B19:F19"/>
    <mergeCell ref="B14:F14"/>
    <mergeCell ref="B15:F15"/>
    <mergeCell ref="B17:F17"/>
    <mergeCell ref="B18:F18"/>
    <mergeCell ref="H20:L20"/>
    <mergeCell ref="H23:L23"/>
    <mergeCell ref="B24:F24"/>
    <mergeCell ref="B25:F25"/>
    <mergeCell ref="H25:L25"/>
    <mergeCell ref="B21:F21"/>
    <mergeCell ref="H21:L21"/>
    <mergeCell ref="B22:F22"/>
    <mergeCell ref="H22:L22"/>
  </mergeCells>
  <printOptions/>
  <pageMargins left="0.75" right="0.75" top="1" bottom="1" header="0.512" footer="0.512"/>
  <pageSetup blackAndWhite="1"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06"/>
  <sheetViews>
    <sheetView workbookViewId="0" topLeftCell="A210">
      <selection activeCell="I213" sqref="I213"/>
    </sheetView>
  </sheetViews>
  <sheetFormatPr defaultColWidth="9.00390625" defaultRowHeight="13.5"/>
  <cols>
    <col min="3" max="3" width="9.625" style="0" customWidth="1"/>
    <col min="4" max="4" width="7.375" style="0" customWidth="1"/>
    <col min="5" max="5" width="7.625" style="0" customWidth="1"/>
    <col min="6" max="6" width="7.375" style="0" customWidth="1"/>
    <col min="7" max="7" width="8.625" style="0" customWidth="1"/>
    <col min="8" max="9" width="7.625" style="0" customWidth="1"/>
    <col min="10" max="10" width="6.75390625" style="0" customWidth="1"/>
    <col min="11" max="11" width="7.75390625" style="0" customWidth="1"/>
  </cols>
  <sheetData>
    <row r="1" spans="1:1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>
      <c r="A2" s="27" t="s">
        <v>277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</row>
    <row r="3" spans="1:12" ht="13.5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2" ht="14.25">
      <c r="A4" s="28" t="s">
        <v>278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</row>
    <row r="5" spans="1:12" ht="24.75" customHeight="1">
      <c r="A5" s="30" t="s">
        <v>266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3.5">
      <c r="A6" s="30"/>
      <c r="B6" s="30"/>
      <c r="C6" s="30"/>
      <c r="D6" s="30"/>
      <c r="E6" s="31"/>
      <c r="F6" s="30"/>
      <c r="G6" s="30"/>
      <c r="H6" s="30"/>
      <c r="I6" s="30"/>
      <c r="J6" s="30"/>
      <c r="K6" s="30"/>
      <c r="L6" s="30"/>
    </row>
    <row r="7" spans="1:12" ht="15">
      <c r="A7" s="30"/>
      <c r="B7" s="30"/>
      <c r="C7" s="30" t="s">
        <v>8</v>
      </c>
      <c r="D7" s="32">
        <f>'設計条件'!$H$14*0.01</f>
        <v>0.2</v>
      </c>
      <c r="E7" s="31" t="s">
        <v>74</v>
      </c>
      <c r="F7" s="33">
        <v>17.7</v>
      </c>
      <c r="G7" s="30" t="s">
        <v>178</v>
      </c>
      <c r="H7" s="31" t="s">
        <v>75</v>
      </c>
      <c r="I7" s="32">
        <f>D7*F7</f>
        <v>3.54</v>
      </c>
      <c r="J7" s="30" t="s">
        <v>76</v>
      </c>
      <c r="K7" s="30"/>
      <c r="L7" s="30"/>
    </row>
    <row r="8" spans="1:12" ht="15">
      <c r="A8" s="30"/>
      <c r="B8" s="30"/>
      <c r="C8" s="30" t="s">
        <v>70</v>
      </c>
      <c r="D8" s="32">
        <f>'設計条件'!$H$15*0.01</f>
        <v>0.1</v>
      </c>
      <c r="E8" s="31" t="s">
        <v>77</v>
      </c>
      <c r="F8" s="33">
        <v>6.4</v>
      </c>
      <c r="G8" s="30" t="s">
        <v>179</v>
      </c>
      <c r="H8" s="31" t="s">
        <v>27</v>
      </c>
      <c r="I8" s="32">
        <f>D8*F8</f>
        <v>0.6400000000000001</v>
      </c>
      <c r="J8" s="30" t="s">
        <v>78</v>
      </c>
      <c r="K8" s="30"/>
      <c r="L8" s="30"/>
    </row>
    <row r="9" spans="1:12" ht="13.5">
      <c r="A9" s="30"/>
      <c r="B9" s="30"/>
      <c r="C9" s="30"/>
      <c r="D9" s="30"/>
      <c r="E9" s="30"/>
      <c r="F9" s="30"/>
      <c r="G9" s="30"/>
      <c r="H9" s="31"/>
      <c r="I9" s="30"/>
      <c r="J9" s="30"/>
      <c r="K9" s="30"/>
      <c r="L9" s="30"/>
    </row>
    <row r="10" spans="1:12" ht="13.5">
      <c r="A10" s="30"/>
      <c r="B10" s="30"/>
      <c r="C10" s="30"/>
      <c r="D10" s="30"/>
      <c r="E10" s="30"/>
      <c r="F10" s="30" t="s">
        <v>9</v>
      </c>
      <c r="G10" s="31" t="s">
        <v>79</v>
      </c>
      <c r="H10" s="31" t="s">
        <v>80</v>
      </c>
      <c r="I10" s="32">
        <f>SUM(I7:I9)</f>
        <v>4.18</v>
      </c>
      <c r="J10" s="30" t="s">
        <v>81</v>
      </c>
      <c r="K10" s="30"/>
      <c r="L10" s="30"/>
    </row>
    <row r="11" spans="1:12" ht="13.5">
      <c r="A11" s="30"/>
      <c r="B11" s="30"/>
      <c r="C11" s="30"/>
      <c r="D11" s="30"/>
      <c r="E11" s="30"/>
      <c r="F11" s="30"/>
      <c r="G11" s="30"/>
      <c r="H11" s="31"/>
      <c r="I11" s="34"/>
      <c r="J11" s="30"/>
      <c r="K11" s="30"/>
      <c r="L11" s="30"/>
    </row>
    <row r="12" spans="1:12" ht="13.5">
      <c r="A12" s="30" t="s">
        <v>267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3.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3.5">
      <c r="A14" s="30"/>
      <c r="B14" s="30"/>
      <c r="C14" s="30" t="s">
        <v>10</v>
      </c>
      <c r="D14" s="35" t="s">
        <v>82</v>
      </c>
      <c r="E14" s="31" t="s">
        <v>19</v>
      </c>
      <c r="F14" s="32">
        <f>'設計条件'!$H$9*4*0.980665</f>
        <v>23.53596</v>
      </c>
      <c r="G14" s="30" t="s">
        <v>83</v>
      </c>
      <c r="H14" s="30" t="s">
        <v>11</v>
      </c>
      <c r="I14" s="30"/>
      <c r="J14" s="30"/>
      <c r="K14" s="30"/>
      <c r="L14" s="30"/>
    </row>
    <row r="15" spans="1:12" ht="13.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4.25">
      <c r="A16" s="28" t="s">
        <v>279</v>
      </c>
      <c r="B16" s="28"/>
      <c r="C16" s="28"/>
      <c r="D16" s="28"/>
      <c r="E16" s="28"/>
      <c r="F16" s="2"/>
      <c r="G16" s="2"/>
      <c r="H16" s="2"/>
      <c r="I16" s="2"/>
      <c r="J16" s="2"/>
      <c r="K16" s="2"/>
      <c r="L16" s="2"/>
    </row>
    <row r="17" spans="1:12" ht="24.75" customHeight="1">
      <c r="A17" s="30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3.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3.5">
      <c r="A19" s="30"/>
      <c r="B19" s="30" t="s">
        <v>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3.5">
      <c r="A20" s="30"/>
      <c r="B20" s="30"/>
      <c r="C20" s="30" t="s">
        <v>14</v>
      </c>
      <c r="D20" s="36">
        <f>'設計条件'!H19*0.01</f>
        <v>0.85</v>
      </c>
      <c r="E20" s="31" t="s">
        <v>84</v>
      </c>
      <c r="F20" s="32">
        <f>'設計条件'!H18*0.01</f>
        <v>0.19</v>
      </c>
      <c r="G20" s="30"/>
      <c r="H20" s="31" t="s">
        <v>85</v>
      </c>
      <c r="I20" s="37">
        <f>D20-F20</f>
        <v>0.6599999999999999</v>
      </c>
      <c r="J20" s="30" t="s">
        <v>86</v>
      </c>
      <c r="K20" s="30"/>
      <c r="L20" s="30"/>
    </row>
    <row r="21" spans="1:12" ht="13.5">
      <c r="A21" s="30"/>
      <c r="B21" s="30"/>
      <c r="C21" s="30" t="s">
        <v>15</v>
      </c>
      <c r="D21" s="38">
        <f>I20</f>
        <v>0.6599999999999999</v>
      </c>
      <c r="E21" s="31" t="s">
        <v>87</v>
      </c>
      <c r="F21" s="32">
        <v>0.1</v>
      </c>
      <c r="G21" s="30"/>
      <c r="H21" s="31" t="s">
        <v>27</v>
      </c>
      <c r="I21" s="37">
        <f>D21+F21</f>
        <v>0.7599999999999999</v>
      </c>
      <c r="J21" s="30" t="s">
        <v>88</v>
      </c>
      <c r="K21" s="30"/>
      <c r="L21" s="30"/>
    </row>
    <row r="22" spans="1:12" ht="15">
      <c r="A22" s="30"/>
      <c r="B22" s="30"/>
      <c r="C22" s="39" t="s">
        <v>180</v>
      </c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">
      <c r="A23" s="30"/>
      <c r="B23" s="30"/>
      <c r="C23" s="30"/>
      <c r="D23" s="30" t="s">
        <v>89</v>
      </c>
      <c r="E23" s="40">
        <v>0.125</v>
      </c>
      <c r="F23" s="31" t="s">
        <v>90</v>
      </c>
      <c r="G23" s="41">
        <f>I10</f>
        <v>4.18</v>
      </c>
      <c r="H23" s="31" t="s">
        <v>90</v>
      </c>
      <c r="I23" s="37">
        <f>I21</f>
        <v>0.7599999999999999</v>
      </c>
      <c r="J23" s="42" t="s">
        <v>181</v>
      </c>
      <c r="K23" s="32">
        <f>ROUND(1/8*I10*(I21)^2,2)</f>
        <v>0.3</v>
      </c>
      <c r="L23" s="30" t="s">
        <v>91</v>
      </c>
    </row>
    <row r="24" spans="1:12" ht="13.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2.75" customHeight="1">
      <c r="A25" s="43" t="s">
        <v>16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3.5">
      <c r="A26" s="30"/>
      <c r="B26" s="30"/>
      <c r="C26" s="30"/>
      <c r="D26" s="31"/>
      <c r="E26" s="30"/>
      <c r="F26" s="30"/>
      <c r="G26" s="30"/>
      <c r="H26" s="30"/>
      <c r="I26" s="30"/>
      <c r="J26" s="30"/>
      <c r="K26" s="30"/>
      <c r="L26" s="30"/>
    </row>
    <row r="27" spans="1:12" ht="13.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3.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3.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3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3.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3.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3.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3.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3.5">
      <c r="A42" s="30"/>
      <c r="B42" s="30" t="s">
        <v>17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3.5">
      <c r="A43" s="30"/>
      <c r="B43" s="30" t="s">
        <v>18</v>
      </c>
      <c r="C43" s="30"/>
      <c r="D43" s="30" t="s">
        <v>92</v>
      </c>
      <c r="E43" s="44">
        <v>0.2</v>
      </c>
      <c r="F43" s="45">
        <f>'設計条件'!$H$14*0.01</f>
        <v>0.2</v>
      </c>
      <c r="G43" s="41" t="s">
        <v>93</v>
      </c>
      <c r="H43" s="32">
        <f>'設計条件'!$H$15*0.01</f>
        <v>0.1</v>
      </c>
      <c r="I43" s="31" t="s">
        <v>94</v>
      </c>
      <c r="J43" s="44">
        <f>0.2+D7*2+D8</f>
        <v>0.7000000000000001</v>
      </c>
      <c r="K43" s="30" t="s">
        <v>95</v>
      </c>
      <c r="L43" s="30"/>
    </row>
    <row r="44" spans="1:12" ht="13.5">
      <c r="A44" s="30"/>
      <c r="B44" s="30" t="s">
        <v>20</v>
      </c>
      <c r="C44" s="30"/>
      <c r="D44" s="30" t="s">
        <v>96</v>
      </c>
      <c r="E44" s="31">
        <v>0.24</v>
      </c>
      <c r="F44" s="46">
        <f>'設計条件'!$H$14*0.01</f>
        <v>0.2</v>
      </c>
      <c r="G44" s="41" t="s">
        <v>93</v>
      </c>
      <c r="H44" s="32">
        <f>'設計条件'!$H$15*0.01</f>
        <v>0.1</v>
      </c>
      <c r="I44" s="31" t="s">
        <v>94</v>
      </c>
      <c r="J44" s="31">
        <f>0.24+D7*2+D8</f>
        <v>0.74</v>
      </c>
      <c r="K44" s="30" t="s">
        <v>95</v>
      </c>
      <c r="L44" s="30" t="str">
        <f>IF(I21&gt;J44," ","→　"&amp;I21&amp;"m")</f>
        <v> </v>
      </c>
    </row>
    <row r="45" spans="1:12" ht="13.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3.5">
      <c r="A46" s="30"/>
      <c r="B46" s="30" t="s">
        <v>21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3.5">
      <c r="A47" s="30"/>
      <c r="B47" s="30" t="s">
        <v>62</v>
      </c>
      <c r="C47" s="30"/>
      <c r="D47" s="30" t="str">
        <f>$J$43&amp;"m"</f>
        <v>0.7m</v>
      </c>
      <c r="E47" s="30" t="s">
        <v>63</v>
      </c>
      <c r="F47" s="30"/>
      <c r="G47" s="30"/>
      <c r="H47" s="30"/>
      <c r="I47" s="30"/>
      <c r="J47" s="30"/>
      <c r="K47" s="30"/>
      <c r="L47" s="30"/>
    </row>
    <row r="48" spans="1:12" ht="13.5">
      <c r="A48" s="30"/>
      <c r="B48" s="30"/>
      <c r="C48" s="30" t="s">
        <v>97</v>
      </c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3.5">
      <c r="A49" s="30"/>
      <c r="B49" s="30"/>
      <c r="C49" s="30" t="s">
        <v>98</v>
      </c>
      <c r="D49" s="32">
        <f>F14</f>
        <v>23.53596</v>
      </c>
      <c r="E49" s="47" t="s">
        <v>99</v>
      </c>
      <c r="F49" s="48">
        <f>I21</f>
        <v>0.7599999999999999</v>
      </c>
      <c r="G49" s="47" t="s">
        <v>100</v>
      </c>
      <c r="H49" s="32">
        <f>IF($I$21&gt;$J$44,$J$44,$I$21)</f>
        <v>0.74</v>
      </c>
      <c r="I49" s="49" t="s">
        <v>101</v>
      </c>
      <c r="J49" s="32">
        <f>ROUND(F14/2*(I21/2-IF(I21&gt;J44,J44,I21)/4),2)</f>
        <v>2.29</v>
      </c>
      <c r="K49" s="30" t="s">
        <v>102</v>
      </c>
      <c r="L49" s="30"/>
    </row>
    <row r="50" spans="1:12" ht="13.5">
      <c r="A50" s="30"/>
      <c r="B50" s="30" t="s">
        <v>22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3.5">
      <c r="A51" s="30"/>
      <c r="B51" s="30"/>
      <c r="C51" s="30" t="s">
        <v>195</v>
      </c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3.5">
      <c r="A52" s="30"/>
      <c r="B52" s="30"/>
      <c r="C52" s="30" t="s">
        <v>103</v>
      </c>
      <c r="D52" s="32">
        <f>J49</f>
        <v>2.29</v>
      </c>
      <c r="E52" s="47" t="s">
        <v>104</v>
      </c>
      <c r="F52" s="50">
        <f>J43</f>
        <v>0.7000000000000001</v>
      </c>
      <c r="G52" s="47"/>
      <c r="H52" s="30"/>
      <c r="I52" s="31" t="s">
        <v>94</v>
      </c>
      <c r="J52" s="32">
        <f>ROUND(J49/J43,2)</f>
        <v>3.27</v>
      </c>
      <c r="K52" s="30" t="s">
        <v>105</v>
      </c>
      <c r="L52" s="30"/>
    </row>
    <row r="53" spans="1:12" ht="13.5">
      <c r="A53" s="30"/>
      <c r="B53" s="30"/>
      <c r="C53" s="30"/>
      <c r="D53" s="32"/>
      <c r="E53" s="47"/>
      <c r="F53" s="50"/>
      <c r="G53" s="47"/>
      <c r="H53" s="30"/>
      <c r="I53" s="31"/>
      <c r="J53" s="32"/>
      <c r="K53" s="30"/>
      <c r="L53" s="30"/>
    </row>
    <row r="54" spans="1:12" ht="13.5">
      <c r="A54" s="30"/>
      <c r="B54" s="30"/>
      <c r="C54" s="30"/>
      <c r="D54" s="32"/>
      <c r="E54" s="47"/>
      <c r="F54" s="50"/>
      <c r="G54" s="47"/>
      <c r="H54" s="30"/>
      <c r="I54" s="31"/>
      <c r="J54" s="32"/>
      <c r="K54" s="30"/>
      <c r="L54" s="30"/>
    </row>
    <row r="55" spans="1:12" ht="13.5">
      <c r="A55" s="30"/>
      <c r="B55" s="30"/>
      <c r="C55" s="30"/>
      <c r="D55" s="32"/>
      <c r="E55" s="47"/>
      <c r="F55" s="50"/>
      <c r="G55" s="47"/>
      <c r="H55" s="30"/>
      <c r="I55" s="31"/>
      <c r="J55" s="32"/>
      <c r="K55" s="30"/>
      <c r="L55" s="30"/>
    </row>
    <row r="56" spans="1:12" ht="13.5">
      <c r="A56" s="30"/>
      <c r="B56" s="30"/>
      <c r="C56" s="30"/>
      <c r="D56" s="32"/>
      <c r="E56" s="47"/>
      <c r="F56" s="50"/>
      <c r="G56" s="47"/>
      <c r="H56" s="30"/>
      <c r="I56" s="31"/>
      <c r="J56" s="32"/>
      <c r="K56" s="30"/>
      <c r="L56" s="30"/>
    </row>
    <row r="57" spans="1:12" ht="13.5">
      <c r="A57" s="30"/>
      <c r="B57" s="30"/>
      <c r="C57" s="30"/>
      <c r="D57" s="30"/>
      <c r="E57" s="30"/>
      <c r="F57" s="51" t="s">
        <v>106</v>
      </c>
      <c r="G57" s="30"/>
      <c r="H57" s="30"/>
      <c r="I57" s="30"/>
      <c r="J57" s="30"/>
      <c r="K57" s="30"/>
      <c r="L57" s="30"/>
    </row>
    <row r="58" spans="1:12" ht="13.5">
      <c r="A58" s="30"/>
      <c r="B58" s="30"/>
      <c r="C58" s="30"/>
      <c r="D58" s="30"/>
      <c r="E58" s="30"/>
      <c r="F58" s="51"/>
      <c r="G58" s="30"/>
      <c r="H58" s="30"/>
      <c r="I58" s="30"/>
      <c r="J58" s="30"/>
      <c r="K58" s="30"/>
      <c r="L58" s="30"/>
    </row>
    <row r="59" spans="1:12" ht="13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3.5">
      <c r="A60" s="43" t="s">
        <v>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3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3.5">
      <c r="A62" s="30"/>
      <c r="B62" s="30" t="s">
        <v>24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3.5">
      <c r="A63" s="30"/>
      <c r="B63" s="30"/>
      <c r="C63" s="30" t="s">
        <v>196</v>
      </c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3.5">
      <c r="A64" s="30"/>
      <c r="B64" s="30"/>
      <c r="C64" s="30" t="s">
        <v>107</v>
      </c>
      <c r="D64" s="32">
        <f>J52</f>
        <v>3.27</v>
      </c>
      <c r="E64" s="31" t="s">
        <v>108</v>
      </c>
      <c r="F64" s="31">
        <v>0.25</v>
      </c>
      <c r="G64" s="30"/>
      <c r="H64" s="30"/>
      <c r="I64" s="31" t="s">
        <v>40</v>
      </c>
      <c r="J64" s="32">
        <f>ROUND(J52*0.25,2)</f>
        <v>0.82</v>
      </c>
      <c r="K64" s="30" t="s">
        <v>109</v>
      </c>
      <c r="L64" s="30"/>
    </row>
    <row r="65" spans="1:12" ht="13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3.5">
      <c r="A66" s="43" t="s">
        <v>28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3.5">
      <c r="A67" s="30"/>
      <c r="B67" s="30"/>
      <c r="C67" s="30" t="s">
        <v>110</v>
      </c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3.5">
      <c r="A68" s="30"/>
      <c r="B68" s="30"/>
      <c r="C68" s="30" t="s">
        <v>111</v>
      </c>
      <c r="D68" s="41">
        <f>K23</f>
        <v>0.3</v>
      </c>
      <c r="E68" s="31" t="s">
        <v>112</v>
      </c>
      <c r="F68" s="32">
        <f>J52</f>
        <v>3.27</v>
      </c>
      <c r="G68" s="31" t="s">
        <v>112</v>
      </c>
      <c r="H68" s="32">
        <f>J64</f>
        <v>0.82</v>
      </c>
      <c r="I68" s="31" t="s">
        <v>80</v>
      </c>
      <c r="J68" s="32">
        <f>K23+J52+J64</f>
        <v>4.39</v>
      </c>
      <c r="K68" s="30" t="s">
        <v>113</v>
      </c>
      <c r="L68" s="30"/>
    </row>
    <row r="69" spans="1:1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4.25">
      <c r="A70" s="28" t="s">
        <v>280</v>
      </c>
      <c r="B70" s="29"/>
      <c r="C70" s="29"/>
      <c r="D70" s="29"/>
      <c r="E70" s="2"/>
      <c r="F70" s="2"/>
      <c r="G70" s="2"/>
      <c r="H70" s="2"/>
      <c r="I70" s="2"/>
      <c r="J70" s="2"/>
      <c r="K70" s="2"/>
      <c r="L70" s="2"/>
    </row>
    <row r="71" spans="1:12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>
      <c r="A72" s="30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3.5">
      <c r="A73" s="74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3.5">
      <c r="A74" s="30"/>
      <c r="B74" s="30"/>
      <c r="C74" s="30" t="s">
        <v>114</v>
      </c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3.5">
      <c r="A75" s="30"/>
      <c r="B75" s="30"/>
      <c r="C75" s="30" t="s">
        <v>115</v>
      </c>
      <c r="D75" s="52" t="s">
        <v>116</v>
      </c>
      <c r="E75" s="31" t="s">
        <v>117</v>
      </c>
      <c r="F75" s="32">
        <f>I10</f>
        <v>4.18</v>
      </c>
      <c r="G75" s="31" t="s">
        <v>117</v>
      </c>
      <c r="H75" s="53">
        <f>I21</f>
        <v>0.7599999999999999</v>
      </c>
      <c r="I75" s="31" t="s">
        <v>118</v>
      </c>
      <c r="J75" s="32">
        <f>ROUND(1/2*I10*I21,2)</f>
        <v>1.59</v>
      </c>
      <c r="K75" s="30" t="s">
        <v>119</v>
      </c>
      <c r="L75" s="30"/>
    </row>
    <row r="76" spans="1:12" ht="13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3.5">
      <c r="A77" s="30" t="s">
        <v>69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3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3.5">
      <c r="A79" s="30"/>
      <c r="B79" s="30" t="s">
        <v>62</v>
      </c>
      <c r="C79" s="30"/>
      <c r="D79" s="30" t="str">
        <f>$J$43&amp;"m"</f>
        <v>0.7m</v>
      </c>
      <c r="E79" s="30" t="s">
        <v>64</v>
      </c>
      <c r="F79" s="30"/>
      <c r="G79" s="30"/>
      <c r="H79" s="30"/>
      <c r="I79" s="30"/>
      <c r="J79" s="30"/>
      <c r="K79" s="30"/>
      <c r="L79" s="30"/>
    </row>
    <row r="80" spans="1:12" ht="13.5">
      <c r="A80" s="30"/>
      <c r="B80" s="30"/>
      <c r="C80" s="30" t="s">
        <v>120</v>
      </c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3.5">
      <c r="A81" s="30"/>
      <c r="B81" s="30"/>
      <c r="C81" s="30" t="s">
        <v>98</v>
      </c>
      <c r="D81" s="32">
        <f>F14</f>
        <v>23.53596</v>
      </c>
      <c r="E81" s="54" t="s">
        <v>121</v>
      </c>
      <c r="F81" s="55">
        <f>I21</f>
        <v>0.7599999999999999</v>
      </c>
      <c r="G81" s="56">
        <f>I21</f>
        <v>0.7599999999999999</v>
      </c>
      <c r="H81" s="32">
        <f>IF($I$21&gt;$J$44,$J$44,$I$21)</f>
        <v>0.74</v>
      </c>
      <c r="I81" s="49" t="s">
        <v>122</v>
      </c>
      <c r="J81" s="32">
        <f>ROUND(F14/I21*(I21-(IF(I21&gt;J44,J44,I21))/2),2)</f>
        <v>12.08</v>
      </c>
      <c r="K81" s="30" t="s">
        <v>123</v>
      </c>
      <c r="L81" s="30"/>
    </row>
    <row r="82" spans="1:12" ht="13.5">
      <c r="A82" s="30"/>
      <c r="B82" s="30" t="s">
        <v>22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3.5">
      <c r="A83" s="30"/>
      <c r="B83" s="30"/>
      <c r="C83" s="30" t="s">
        <v>197</v>
      </c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3.5">
      <c r="A84" s="30"/>
      <c r="B84" s="30"/>
      <c r="C84" s="30" t="s">
        <v>103</v>
      </c>
      <c r="D84" s="32">
        <f>J81</f>
        <v>12.08</v>
      </c>
      <c r="E84" s="47" t="s">
        <v>104</v>
      </c>
      <c r="F84" s="50">
        <f>J43</f>
        <v>0.7000000000000001</v>
      </c>
      <c r="G84" s="47"/>
      <c r="H84" s="30"/>
      <c r="I84" s="31" t="s">
        <v>94</v>
      </c>
      <c r="J84" s="32">
        <f>ROUND(J81/J43,2)</f>
        <v>17.26</v>
      </c>
      <c r="K84" s="30" t="s">
        <v>124</v>
      </c>
      <c r="L84" s="30"/>
    </row>
    <row r="85" spans="1:12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3.5">
      <c r="A86" s="43" t="s">
        <v>32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3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3.5">
      <c r="A88" s="30"/>
      <c r="B88" s="30"/>
      <c r="C88" s="30" t="s">
        <v>240</v>
      </c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3.5">
      <c r="A89" s="30"/>
      <c r="B89" s="30"/>
      <c r="C89" s="30" t="s">
        <v>25</v>
      </c>
      <c r="D89" s="32">
        <f>J84</f>
        <v>17.26</v>
      </c>
      <c r="E89" s="31" t="s">
        <v>26</v>
      </c>
      <c r="F89" s="31">
        <v>0.25</v>
      </c>
      <c r="G89" s="30"/>
      <c r="H89" s="30"/>
      <c r="I89" s="31" t="s">
        <v>27</v>
      </c>
      <c r="J89" s="32">
        <f>ROUND(J84*0.25,2)</f>
        <v>4.32</v>
      </c>
      <c r="K89" s="30" t="s">
        <v>125</v>
      </c>
      <c r="L89" s="30"/>
    </row>
    <row r="90" spans="1:12" ht="13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3.5">
      <c r="A91" s="43" t="s">
        <v>33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3.5">
      <c r="A92" s="30"/>
      <c r="B92" s="30"/>
      <c r="C92" s="30" t="s">
        <v>126</v>
      </c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3.5">
      <c r="A93" s="30"/>
      <c r="B93" s="30"/>
      <c r="C93" s="30" t="s">
        <v>111</v>
      </c>
      <c r="D93" s="41">
        <f>J75</f>
        <v>1.59</v>
      </c>
      <c r="E93" s="31" t="s">
        <v>112</v>
      </c>
      <c r="F93" s="32">
        <f>J84</f>
        <v>17.26</v>
      </c>
      <c r="G93" s="31" t="s">
        <v>112</v>
      </c>
      <c r="H93" s="32">
        <f>J89</f>
        <v>4.32</v>
      </c>
      <c r="I93" s="31" t="s">
        <v>80</v>
      </c>
      <c r="J93" s="32">
        <f>J75+J84+J89</f>
        <v>23.17</v>
      </c>
      <c r="K93" s="30" t="s">
        <v>127</v>
      </c>
      <c r="L93" s="30"/>
    </row>
    <row r="94" spans="1:12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4.25">
      <c r="A95" s="28" t="s">
        <v>281</v>
      </c>
      <c r="B95" s="29"/>
      <c r="C95" s="29"/>
      <c r="D95" s="2"/>
      <c r="E95" s="2"/>
      <c r="F95" s="2"/>
      <c r="G95" s="2"/>
      <c r="H95" s="2"/>
      <c r="I95" s="2"/>
      <c r="J95" s="2"/>
      <c r="K95" s="2"/>
      <c r="L95" s="2"/>
    </row>
    <row r="96" spans="1:12" ht="13.5">
      <c r="A96" s="57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3.5">
      <c r="A97" s="57"/>
      <c r="B97" s="30" t="s">
        <v>71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3.5">
      <c r="A98" s="30"/>
      <c r="B98" s="30" t="s">
        <v>239</v>
      </c>
      <c r="C98" s="30"/>
      <c r="D98" s="44" t="str">
        <f>"/ "&amp;'設計条件'!$H$15*0.01</f>
        <v>/ 0.1</v>
      </c>
      <c r="E98" s="31" t="s">
        <v>128</v>
      </c>
      <c r="F98" s="58">
        <f>ROUND(1/('設計条件'!$H$15*0.01),1)</f>
        <v>10</v>
      </c>
      <c r="G98" s="30"/>
      <c r="H98" s="30"/>
      <c r="I98" s="30"/>
      <c r="J98" s="30"/>
      <c r="K98" s="30"/>
      <c r="L98" s="30"/>
    </row>
    <row r="99" spans="1:12" ht="13.5">
      <c r="A99" s="30"/>
      <c r="B99" s="30" t="s">
        <v>34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3.5">
      <c r="A100" s="30"/>
      <c r="B100" s="30" t="s">
        <v>190</v>
      </c>
      <c r="C100" s="30"/>
      <c r="D100" s="30"/>
      <c r="E100" s="30"/>
      <c r="F100" s="30"/>
      <c r="G100" s="30" t="s">
        <v>35</v>
      </c>
      <c r="H100" s="30"/>
      <c r="I100" s="30"/>
      <c r="J100" s="30"/>
      <c r="K100" s="30"/>
      <c r="L100" s="30"/>
    </row>
    <row r="101" spans="1:12" ht="15">
      <c r="A101" s="30"/>
      <c r="B101" s="30"/>
      <c r="C101" s="30"/>
      <c r="D101" s="30"/>
      <c r="E101" s="30"/>
      <c r="F101" s="30"/>
      <c r="G101" s="30" t="s">
        <v>198</v>
      </c>
      <c r="H101" s="30"/>
      <c r="I101" s="30"/>
      <c r="J101" s="30"/>
      <c r="K101" s="30"/>
      <c r="L101" s="30"/>
    </row>
    <row r="102" spans="1:12" ht="15">
      <c r="A102" s="30"/>
      <c r="B102" s="30" t="s">
        <v>129</v>
      </c>
      <c r="C102" s="30"/>
      <c r="D102" s="59" t="str">
        <f>ROUNDDOWN(J68*100,0)*10000&amp;" ／ "&amp;ROUNDDOWN(1000*('設計条件'!H15*5)^3/32,0)&amp;"  ＝  "</f>
        <v>4390000 ／ 3906250  ＝  </v>
      </c>
      <c r="E102" s="51"/>
      <c r="F102" s="60"/>
      <c r="G102" s="61">
        <f>(ROUNDDOWN(J68*100,0)*10000)/((1000*('設計条件'!H15*10)^2)/6)</f>
        <v>2.634</v>
      </c>
      <c r="H102" s="31" t="str">
        <f>IF(G102&lt;=J102,"＜","＞")</f>
        <v>＜</v>
      </c>
      <c r="I102" s="31" t="s">
        <v>130</v>
      </c>
      <c r="J102" s="32">
        <f>'設計条件'!H28</f>
        <v>8.8</v>
      </c>
      <c r="K102" s="30" t="s">
        <v>182</v>
      </c>
      <c r="L102" s="30"/>
    </row>
    <row r="103" spans="1:12" ht="13.5">
      <c r="A103" s="30"/>
      <c r="B103" s="30"/>
      <c r="C103" s="30"/>
      <c r="D103" s="30"/>
      <c r="E103" s="30"/>
      <c r="F103" s="30"/>
      <c r="G103" s="30"/>
      <c r="H103" s="31" t="s">
        <v>131</v>
      </c>
      <c r="I103" s="31" t="str">
        <f>IF(G102&lt;J102,"OK","OUT")</f>
        <v>OK</v>
      </c>
      <c r="J103" s="30"/>
      <c r="K103" s="30"/>
      <c r="L103" s="30"/>
    </row>
    <row r="104" spans="1:12" ht="13.5">
      <c r="A104" s="30"/>
      <c r="B104" s="30"/>
      <c r="C104" s="30"/>
      <c r="D104" s="30"/>
      <c r="E104" s="30"/>
      <c r="F104" s="30"/>
      <c r="G104" s="30"/>
      <c r="H104" s="31"/>
      <c r="I104" s="31"/>
      <c r="J104" s="30"/>
      <c r="K104" s="31"/>
      <c r="L104" s="30"/>
    </row>
    <row r="105" spans="1:12" ht="13.5">
      <c r="A105" s="30"/>
      <c r="B105" s="30" t="s">
        <v>36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3.5">
      <c r="A106" s="30"/>
      <c r="B106" s="30" t="s">
        <v>241</v>
      </c>
      <c r="C106" s="30"/>
      <c r="D106" s="30"/>
      <c r="E106" s="30"/>
      <c r="F106" s="30"/>
      <c r="G106" s="30" t="s">
        <v>38</v>
      </c>
      <c r="H106" s="30"/>
      <c r="I106" s="30"/>
      <c r="J106" s="30"/>
      <c r="K106" s="30"/>
      <c r="L106" s="30"/>
    </row>
    <row r="107" spans="1:12" ht="13.5">
      <c r="A107" s="30"/>
      <c r="B107" s="30"/>
      <c r="C107" s="30"/>
      <c r="D107" s="30"/>
      <c r="E107" s="30"/>
      <c r="F107" s="30"/>
      <c r="G107" s="30" t="s">
        <v>199</v>
      </c>
      <c r="H107" s="30"/>
      <c r="I107" s="30"/>
      <c r="J107" s="30"/>
      <c r="K107" s="30"/>
      <c r="L107" s="30"/>
    </row>
    <row r="108" spans="1:12" ht="15">
      <c r="A108" s="30"/>
      <c r="B108" s="30" t="s">
        <v>133</v>
      </c>
      <c r="C108" s="31" t="s">
        <v>134</v>
      </c>
      <c r="D108" s="59" t="str">
        <f>ROUNDDOWN(J93*100,0)*10&amp;"  ／  "&amp;ROUNDDOWN(PI()*(('設計条件'!H15)*10/2)^2*$F$98,0)&amp;"    ＝  "</f>
        <v>23170  ／  78539    ＝  </v>
      </c>
      <c r="E108" s="51"/>
      <c r="F108" s="62"/>
      <c r="G108" s="61">
        <f>(ROUNDDOWN(J93*100,0)*10)/(('設計条件'!H15*10)*1000)</f>
        <v>0.2317</v>
      </c>
      <c r="H108" s="31" t="str">
        <f>IF(G108&lt;=J108,"＜","＞")</f>
        <v>＜</v>
      </c>
      <c r="I108" s="31" t="s">
        <v>135</v>
      </c>
      <c r="J108" s="32">
        <f>'設計条件'!H29</f>
        <v>0.8</v>
      </c>
      <c r="K108" s="30" t="s">
        <v>183</v>
      </c>
      <c r="L108" s="30"/>
    </row>
    <row r="109" spans="1:12" ht="13.5">
      <c r="A109" s="30"/>
      <c r="B109" s="30"/>
      <c r="C109" s="30"/>
      <c r="D109" s="30"/>
      <c r="E109" s="30"/>
      <c r="F109" s="30"/>
      <c r="G109" s="30"/>
      <c r="H109" s="31" t="s">
        <v>136</v>
      </c>
      <c r="I109" s="31" t="str">
        <f>IF(G108&lt;J108,"OK","OUT")</f>
        <v>OK</v>
      </c>
      <c r="J109" s="30"/>
      <c r="K109" s="30"/>
      <c r="L109" s="30"/>
    </row>
    <row r="110" spans="1:12" ht="13.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3.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3.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3.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3.5">
      <c r="A116" s="30"/>
      <c r="B116" s="30"/>
      <c r="C116" s="30"/>
      <c r="D116" s="30"/>
      <c r="E116" s="30"/>
      <c r="F116" s="51" t="s">
        <v>137</v>
      </c>
      <c r="G116" s="30"/>
      <c r="H116" s="30"/>
      <c r="I116" s="30"/>
      <c r="J116" s="30"/>
      <c r="K116" s="30"/>
      <c r="L116" s="30"/>
    </row>
    <row r="117" spans="1:12" ht="17.25">
      <c r="A117" s="27" t="s">
        <v>282</v>
      </c>
      <c r="B117" s="3"/>
      <c r="C117" s="3"/>
      <c r="D117" s="3"/>
      <c r="E117" s="2"/>
      <c r="F117" s="2"/>
      <c r="G117" s="2"/>
      <c r="H117" s="2"/>
      <c r="I117" s="2"/>
      <c r="J117" s="2"/>
      <c r="K117" s="2"/>
      <c r="L117" s="2"/>
    </row>
    <row r="118" spans="1:12" ht="13.5">
      <c r="A118" s="3"/>
      <c r="B118" s="3"/>
      <c r="C118" s="3"/>
      <c r="D118" s="3"/>
      <c r="E118" s="2"/>
      <c r="F118" s="2"/>
      <c r="G118" s="2"/>
      <c r="H118" s="2"/>
      <c r="I118" s="2"/>
      <c r="J118" s="2"/>
      <c r="K118" s="2"/>
      <c r="L118" s="2"/>
    </row>
    <row r="119" spans="1:12" ht="14.25">
      <c r="A119" s="28" t="s">
        <v>283</v>
      </c>
      <c r="B119" s="28"/>
      <c r="C119" s="28"/>
      <c r="D119" s="3"/>
      <c r="E119" s="2"/>
      <c r="F119" s="2"/>
      <c r="G119" s="2"/>
      <c r="H119" s="2"/>
      <c r="I119" s="2"/>
      <c r="J119" s="2"/>
      <c r="K119" s="2"/>
      <c r="L119" s="2"/>
    </row>
    <row r="120" spans="1:12" ht="13.5">
      <c r="A120" s="30" t="s">
        <v>265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3.5">
      <c r="A121" s="30"/>
      <c r="B121" s="30" t="s">
        <v>39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3.5">
      <c r="A122" s="30"/>
      <c r="B122" s="63" t="s">
        <v>242</v>
      </c>
      <c r="C122" s="31"/>
      <c r="D122" s="31" t="s">
        <v>75</v>
      </c>
      <c r="E122" s="32">
        <f>I10</f>
        <v>4.18</v>
      </c>
      <c r="F122" s="30" t="s">
        <v>76</v>
      </c>
      <c r="G122" s="64" t="s">
        <v>138</v>
      </c>
      <c r="H122" s="32">
        <f>'設計条件'!$H$19/100</f>
        <v>0.85</v>
      </c>
      <c r="I122" s="30"/>
      <c r="J122" s="31" t="s">
        <v>75</v>
      </c>
      <c r="K122" s="32">
        <f>ROUND(('設計条件'!$H$19/100)*I10,2)</f>
        <v>3.55</v>
      </c>
      <c r="L122" s="30" t="s">
        <v>139</v>
      </c>
    </row>
    <row r="123" spans="1:12" ht="15">
      <c r="A123" s="30"/>
      <c r="B123" s="63" t="s">
        <v>41</v>
      </c>
      <c r="C123" s="31"/>
      <c r="D123" s="31" t="s">
        <v>27</v>
      </c>
      <c r="E123" s="32" t="str">
        <f>"( "&amp;'設計条件'!$H$17/100/2&amp;")"</f>
        <v>( 0.185)</v>
      </c>
      <c r="F123" s="65" t="s">
        <v>184</v>
      </c>
      <c r="G123" s="66" t="str">
        <f>"X  "&amp;"1.0"</f>
        <v>X  1.0</v>
      </c>
      <c r="H123" s="33" t="s">
        <v>140</v>
      </c>
      <c r="I123" s="67">
        <v>6.4</v>
      </c>
      <c r="J123" s="31" t="s">
        <v>27</v>
      </c>
      <c r="K123" s="32">
        <f>ROUND(('設計条件'!$H$17/100/2)^2*PI()*1*6.4,2)</f>
        <v>0.69</v>
      </c>
      <c r="L123" s="30" t="s">
        <v>141</v>
      </c>
    </row>
    <row r="124" spans="1:12" ht="13.5">
      <c r="A124" s="30"/>
      <c r="B124" s="63" t="s">
        <v>42</v>
      </c>
      <c r="C124" s="31"/>
      <c r="D124" s="31" t="s">
        <v>142</v>
      </c>
      <c r="E124" s="31"/>
      <c r="F124" s="32"/>
      <c r="G124" s="30"/>
      <c r="H124" s="31"/>
      <c r="I124" s="32"/>
      <c r="J124" s="31" t="s">
        <v>142</v>
      </c>
      <c r="K124" s="32">
        <v>0.1</v>
      </c>
      <c r="L124" s="30" t="s">
        <v>143</v>
      </c>
    </row>
    <row r="125" spans="1:12" ht="13.5">
      <c r="A125" s="30"/>
      <c r="B125" s="30"/>
      <c r="C125" s="30"/>
      <c r="D125" s="32"/>
      <c r="E125" s="31"/>
      <c r="F125" s="33"/>
      <c r="G125" s="30" t="s">
        <v>9</v>
      </c>
      <c r="H125" s="31"/>
      <c r="I125" s="31" t="s">
        <v>144</v>
      </c>
      <c r="J125" s="31" t="s">
        <v>80</v>
      </c>
      <c r="K125" s="68">
        <f>SUM(K122:K124)</f>
        <v>4.34</v>
      </c>
      <c r="L125" s="30" t="s">
        <v>145</v>
      </c>
    </row>
    <row r="126" spans="1:12" ht="13.5">
      <c r="A126" s="30" t="s">
        <v>268</v>
      </c>
      <c r="B126" s="30"/>
      <c r="C126" s="30"/>
      <c r="D126" s="30"/>
      <c r="E126" s="30"/>
      <c r="F126" s="30"/>
      <c r="G126" s="30"/>
      <c r="H126" s="31"/>
      <c r="I126" s="30"/>
      <c r="J126" s="30"/>
      <c r="K126" s="30"/>
      <c r="L126" s="30"/>
    </row>
    <row r="127" spans="1:12" ht="13.5">
      <c r="A127" s="30"/>
      <c r="B127" s="30"/>
      <c r="C127" s="31" t="s">
        <v>146</v>
      </c>
      <c r="D127" s="31" t="s">
        <v>80</v>
      </c>
      <c r="E127" s="32">
        <f>'設計条件'!$H$9*4*0.980665</f>
        <v>23.53596</v>
      </c>
      <c r="F127" s="63" t="s">
        <v>147</v>
      </c>
      <c r="G127" s="30" t="s">
        <v>11</v>
      </c>
      <c r="H127" s="32"/>
      <c r="I127" s="30"/>
      <c r="J127" s="30"/>
      <c r="K127" s="30"/>
      <c r="L127" s="30"/>
    </row>
    <row r="128" spans="1:12" ht="13.5">
      <c r="A128" s="92"/>
      <c r="B128" s="92" t="s">
        <v>269</v>
      </c>
      <c r="C128" s="93"/>
      <c r="D128" s="93"/>
      <c r="E128" s="94"/>
      <c r="F128" s="95"/>
      <c r="G128" s="92"/>
      <c r="H128" s="94"/>
      <c r="I128" s="92"/>
      <c r="J128" s="92"/>
      <c r="K128" s="92"/>
      <c r="L128" s="92"/>
    </row>
    <row r="129" spans="1:12" ht="13.5">
      <c r="A129" s="30"/>
      <c r="B129" s="30" t="s">
        <v>67</v>
      </c>
      <c r="C129" s="35" t="s">
        <v>148</v>
      </c>
      <c r="D129" s="31">
        <v>0.24</v>
      </c>
      <c r="E129" s="46">
        <f>'設計条件'!$H$14*0.01</f>
        <v>0.2</v>
      </c>
      <c r="F129" s="41" t="s">
        <v>275</v>
      </c>
      <c r="G129" s="32" t="str">
        <f>"+  "&amp;'設計条件'!$H$15*0.01*2</f>
        <v>+  0.2</v>
      </c>
      <c r="H129" s="31" t="s">
        <v>149</v>
      </c>
      <c r="I129" s="63">
        <f>0.24+$E$129*2+$G$129</f>
        <v>0.8400000000000001</v>
      </c>
      <c r="J129" s="30" t="s">
        <v>150</v>
      </c>
      <c r="K129" s="30"/>
      <c r="L129" s="30"/>
    </row>
    <row r="130" spans="1:12" ht="13.5">
      <c r="A130" s="30"/>
      <c r="B130" s="30" t="s">
        <v>68</v>
      </c>
      <c r="C130" s="35" t="s">
        <v>151</v>
      </c>
      <c r="D130" s="44">
        <f>'設計条件'!$H$19*0.01</f>
        <v>0.85</v>
      </c>
      <c r="E130" s="46">
        <f>'設計条件'!$H$17*0.01</f>
        <v>0.37</v>
      </c>
      <c r="F130" s="63"/>
      <c r="G130" s="30"/>
      <c r="H130" s="31" t="s">
        <v>152</v>
      </c>
      <c r="I130" s="69">
        <f>$D$130+$E$130</f>
        <v>1.22</v>
      </c>
      <c r="J130" s="30" t="s">
        <v>153</v>
      </c>
      <c r="K130" s="30"/>
      <c r="L130" s="30"/>
    </row>
    <row r="131" spans="1:12" ht="13.5">
      <c r="A131" s="92"/>
      <c r="B131" s="92"/>
      <c r="C131" s="95" t="str">
        <f>IF($I$130&lt;$I$129,"　　　桁間隔の方が分布幅より小さいため荷重分担を考慮する。","　　　桁間隔の方が分布幅より大きいため荷重分担を考慮しない。")</f>
        <v>　　　桁間隔の方が分布幅より大きいため荷重分担を考慮しない。</v>
      </c>
      <c r="D131" s="93"/>
      <c r="E131" s="94"/>
      <c r="F131" s="95"/>
      <c r="G131" s="92"/>
      <c r="H131" s="94"/>
      <c r="I131" s="92"/>
      <c r="J131" s="92"/>
      <c r="K131" s="92"/>
      <c r="L131" s="92"/>
    </row>
    <row r="132" spans="1:12" ht="13.5">
      <c r="A132" s="92"/>
      <c r="B132" s="96" t="s">
        <v>270</v>
      </c>
      <c r="C132" s="93" t="s">
        <v>271</v>
      </c>
      <c r="D132" s="93" t="s">
        <v>272</v>
      </c>
      <c r="E132" s="94">
        <f>IF($I$129&lt;$I$130,ROUND('設計条件'!$H$9*4*0.980665,2),ROUND('設計条件'!$H$9*4*0.980665/2,2))</f>
        <v>23.54</v>
      </c>
      <c r="F132" s="95" t="s">
        <v>273</v>
      </c>
      <c r="G132" s="92"/>
      <c r="H132" s="94"/>
      <c r="I132" s="92"/>
      <c r="J132" s="92"/>
      <c r="K132" s="92"/>
      <c r="L132" s="92"/>
    </row>
    <row r="133" spans="1:12" ht="13.5">
      <c r="A133" s="92"/>
      <c r="B133" s="96"/>
      <c r="C133" s="93"/>
      <c r="D133" s="93"/>
      <c r="E133" s="94"/>
      <c r="F133" s="95"/>
      <c r="G133" s="92"/>
      <c r="H133" s="94"/>
      <c r="I133" s="92"/>
      <c r="J133" s="92"/>
      <c r="K133" s="92"/>
      <c r="L133" s="92"/>
    </row>
    <row r="134" spans="1:12" ht="14.25">
      <c r="A134" s="28" t="s">
        <v>284</v>
      </c>
      <c r="B134" s="28"/>
      <c r="C134" s="28"/>
      <c r="D134" s="28"/>
      <c r="E134" s="28"/>
      <c r="F134" s="2"/>
      <c r="G134" s="2"/>
      <c r="H134" s="2"/>
      <c r="I134" s="2"/>
      <c r="J134" s="2"/>
      <c r="K134" s="2"/>
      <c r="L134" s="2"/>
    </row>
    <row r="135" spans="1:12" ht="13.5">
      <c r="A135" s="30" t="s">
        <v>12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3.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3.5">
      <c r="A137" s="30"/>
      <c r="B137" s="30" t="s">
        <v>43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3.5">
      <c r="A138" s="30"/>
      <c r="B138" s="30"/>
      <c r="C138" s="30" t="s">
        <v>44</v>
      </c>
      <c r="D138" s="44" t="s">
        <v>154</v>
      </c>
      <c r="E138" s="31" t="s">
        <v>27</v>
      </c>
      <c r="F138" s="32">
        <f>'設計条件'!$H$11</f>
        <v>4</v>
      </c>
      <c r="G138" s="35" t="s">
        <v>155</v>
      </c>
      <c r="H138" s="31"/>
      <c r="I138" s="41">
        <f>'設計条件'!$H$21*0.5</f>
        <v>0</v>
      </c>
      <c r="J138" s="30" t="s">
        <v>27</v>
      </c>
      <c r="K138" s="70">
        <f>F138-I138</f>
        <v>4</v>
      </c>
      <c r="L138" s="30" t="s">
        <v>88</v>
      </c>
    </row>
    <row r="139" spans="1:12" ht="13.5">
      <c r="A139" s="30"/>
      <c r="B139" s="30"/>
      <c r="C139" s="30"/>
      <c r="D139" s="53"/>
      <c r="E139" s="31"/>
      <c r="F139" s="32"/>
      <c r="G139" s="30"/>
      <c r="H139" s="31"/>
      <c r="I139" s="37"/>
      <c r="J139" s="30"/>
      <c r="K139" s="30"/>
      <c r="L139" s="30"/>
    </row>
    <row r="140" spans="1:12" ht="15">
      <c r="A140" s="30"/>
      <c r="B140" s="30"/>
      <c r="C140" s="39" t="s">
        <v>180</v>
      </c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5">
      <c r="A141" s="30"/>
      <c r="B141" s="30"/>
      <c r="C141" s="30"/>
      <c r="D141" s="30" t="s">
        <v>89</v>
      </c>
      <c r="E141" s="40">
        <v>0.125</v>
      </c>
      <c r="F141" s="31" t="s">
        <v>90</v>
      </c>
      <c r="G141" s="41">
        <f>K125</f>
        <v>4.34</v>
      </c>
      <c r="H141" s="31" t="s">
        <v>90</v>
      </c>
      <c r="I141" s="37">
        <f>K138</f>
        <v>4</v>
      </c>
      <c r="J141" s="42" t="s">
        <v>181</v>
      </c>
      <c r="K141" s="32">
        <f>ROUND(1/8*K125*(K138)^2,2)</f>
        <v>8.68</v>
      </c>
      <c r="L141" s="30" t="s">
        <v>91</v>
      </c>
    </row>
    <row r="142" spans="1:12" ht="13.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3.5">
      <c r="A143" s="43" t="s">
        <v>16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3.5">
      <c r="A144" s="30"/>
      <c r="B144" s="30"/>
      <c r="C144" s="30"/>
      <c r="D144" s="31"/>
      <c r="E144" s="30"/>
      <c r="F144" s="30"/>
      <c r="G144" s="30"/>
      <c r="H144" s="30"/>
      <c r="I144" s="30"/>
      <c r="J144" s="30"/>
      <c r="K144" s="30"/>
      <c r="L144" s="30"/>
    </row>
    <row r="145" spans="1:12" ht="13.5">
      <c r="A145" s="30"/>
      <c r="B145" s="30" t="s">
        <v>65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3.5">
      <c r="A146" s="30"/>
      <c r="B146" s="30"/>
      <c r="C146" s="30" t="s">
        <v>200</v>
      </c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3.5">
      <c r="A147" s="30"/>
      <c r="B147" s="30" t="s">
        <v>66</v>
      </c>
      <c r="C147" s="30"/>
      <c r="D147" s="32"/>
      <c r="E147" s="47"/>
      <c r="F147" s="48"/>
      <c r="G147" s="47"/>
      <c r="H147" s="30"/>
      <c r="I147" s="49"/>
      <c r="J147" s="30"/>
      <c r="K147" s="30"/>
      <c r="L147" s="30"/>
    </row>
    <row r="148" spans="1:12" ht="15">
      <c r="A148" s="30"/>
      <c r="B148" s="30"/>
      <c r="C148" s="30" t="s">
        <v>201</v>
      </c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3.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3.5">
      <c r="A150" s="30"/>
      <c r="B150" s="30"/>
      <c r="C150" s="31" t="s">
        <v>40</v>
      </c>
      <c r="D150" s="71" t="str">
        <f>IF(K138&lt;=6,"1/4 X "&amp;E$132&amp;" X "&amp;K138,"1.25  /  "&amp;K138&amp;" X  "&amp;E$132&amp;" X ( "&amp;K138&amp;" /  2 - 0.3")</f>
        <v>1/4 X 23.54 X 4</v>
      </c>
      <c r="E150" s="47"/>
      <c r="F150" s="50"/>
      <c r="G150" s="47"/>
      <c r="H150" s="63" t="str">
        <f>IF($K$138&lt;=6," ",")2")</f>
        <v> </v>
      </c>
      <c r="I150" s="31" t="s">
        <v>40</v>
      </c>
      <c r="J150" s="32">
        <f>ROUND(IF(K138&lt;=6,$E$132*K138/4,1.25*$E$132/K138*(K138/2-0.3)^2),2)</f>
        <v>23.54</v>
      </c>
      <c r="K150" s="30" t="s">
        <v>109</v>
      </c>
      <c r="L150" s="30"/>
    </row>
    <row r="151" spans="1:12" ht="13.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3.5">
      <c r="A152" s="43" t="s">
        <v>23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3.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3.5">
      <c r="A154" s="30"/>
      <c r="B154" s="30" t="s">
        <v>24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3.5">
      <c r="A155" s="30"/>
      <c r="B155" s="30"/>
      <c r="C155" s="30" t="s">
        <v>202</v>
      </c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3.5">
      <c r="A156" s="30"/>
      <c r="B156" s="30"/>
      <c r="C156" s="30" t="s">
        <v>107</v>
      </c>
      <c r="D156" s="32">
        <f>J150</f>
        <v>23.54</v>
      </c>
      <c r="E156" s="31" t="s">
        <v>108</v>
      </c>
      <c r="F156" s="31">
        <v>0.25</v>
      </c>
      <c r="G156" s="30"/>
      <c r="H156" s="30"/>
      <c r="I156" s="31" t="s">
        <v>40</v>
      </c>
      <c r="J156" s="32">
        <f>ROUND(J150*0.25,2)</f>
        <v>5.89</v>
      </c>
      <c r="K156" s="30" t="s">
        <v>109</v>
      </c>
      <c r="L156" s="30"/>
    </row>
    <row r="157" spans="1:12" ht="13.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3.5">
      <c r="A158" s="43" t="s">
        <v>28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3.5">
      <c r="A159" s="30"/>
      <c r="B159" s="30"/>
      <c r="C159" s="30" t="s">
        <v>156</v>
      </c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3.5">
      <c r="A160" s="30"/>
      <c r="B160" s="30"/>
      <c r="C160" s="30" t="s">
        <v>111</v>
      </c>
      <c r="D160" s="41">
        <f>K141</f>
        <v>8.68</v>
      </c>
      <c r="E160" s="31" t="s">
        <v>112</v>
      </c>
      <c r="F160" s="32">
        <f>J150</f>
        <v>23.54</v>
      </c>
      <c r="G160" s="31" t="s">
        <v>112</v>
      </c>
      <c r="H160" s="32">
        <f>J156</f>
        <v>5.89</v>
      </c>
      <c r="I160" s="31" t="s">
        <v>80</v>
      </c>
      <c r="J160" s="32">
        <f>K141+J150+J156</f>
        <v>38.11</v>
      </c>
      <c r="K160" s="30" t="s">
        <v>113</v>
      </c>
      <c r="L160" s="30"/>
    </row>
    <row r="161" spans="1:12" ht="13.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4.25">
      <c r="A162" s="28" t="s">
        <v>285</v>
      </c>
      <c r="B162" s="29"/>
      <c r="C162" s="29"/>
      <c r="D162" s="29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30" t="s">
        <v>29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3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3.5">
      <c r="A166" s="30"/>
      <c r="B166" s="30"/>
      <c r="C166" s="30" t="s">
        <v>157</v>
      </c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3.5">
      <c r="A167" s="30"/>
      <c r="B167" s="30"/>
      <c r="C167" s="30" t="s">
        <v>115</v>
      </c>
      <c r="D167" s="52" t="s">
        <v>116</v>
      </c>
      <c r="E167" s="31" t="s">
        <v>117</v>
      </c>
      <c r="F167" s="32">
        <f>K125</f>
        <v>4.34</v>
      </c>
      <c r="G167" s="31" t="s">
        <v>117</v>
      </c>
      <c r="H167" s="53">
        <f>K138</f>
        <v>4</v>
      </c>
      <c r="I167" s="31" t="s">
        <v>118</v>
      </c>
      <c r="J167" s="32">
        <f>ROUND(1/2*K125*K138,2)</f>
        <v>8.68</v>
      </c>
      <c r="K167" s="30" t="s">
        <v>158</v>
      </c>
      <c r="L167" s="30"/>
    </row>
    <row r="168" spans="1:12" ht="13.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3.5">
      <c r="A169" s="30" t="s">
        <v>31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3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3.5">
      <c r="A171" s="30"/>
      <c r="B171" s="30"/>
      <c r="C171" s="30" t="s">
        <v>159</v>
      </c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3.5">
      <c r="A172" s="30"/>
      <c r="B172" s="30"/>
      <c r="C172" s="30" t="s">
        <v>160</v>
      </c>
      <c r="D172" s="32" t="str">
        <f>E132&amp;"  /  4  X  (  5  -  3  /  "&amp;K138&amp;"  )  "</f>
        <v>23.54  /  4  X  (  5  -  3  /  4  )  </v>
      </c>
      <c r="E172" s="47"/>
      <c r="F172" s="50"/>
      <c r="G172" s="47"/>
      <c r="H172" s="30"/>
      <c r="I172" s="31" t="s">
        <v>161</v>
      </c>
      <c r="J172" s="32">
        <f>ROUND(E127/4*(5-3/K138),2)</f>
        <v>25.01</v>
      </c>
      <c r="K172" s="30" t="s">
        <v>162</v>
      </c>
      <c r="L172" s="30"/>
    </row>
    <row r="173" spans="1:12" ht="13.5">
      <c r="A173" s="30"/>
      <c r="B173" s="30"/>
      <c r="C173" s="30"/>
      <c r="D173" s="32"/>
      <c r="E173" s="47"/>
      <c r="F173" s="50"/>
      <c r="G173" s="47"/>
      <c r="H173" s="30"/>
      <c r="I173" s="31"/>
      <c r="J173" s="32"/>
      <c r="K173" s="30"/>
      <c r="L173" s="30"/>
    </row>
    <row r="174" spans="1:12" ht="13.5">
      <c r="A174" s="30"/>
      <c r="B174" s="30"/>
      <c r="C174" s="30"/>
      <c r="D174" s="30"/>
      <c r="E174" s="30"/>
      <c r="F174" s="51" t="s">
        <v>163</v>
      </c>
      <c r="G174" s="30"/>
      <c r="H174" s="30"/>
      <c r="I174" s="30"/>
      <c r="J174" s="30"/>
      <c r="K174" s="30"/>
      <c r="L174" s="30"/>
    </row>
    <row r="175" spans="1:12" ht="13.5">
      <c r="A175" s="43" t="s">
        <v>32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3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3.5">
      <c r="A177" s="30"/>
      <c r="B177" s="30"/>
      <c r="C177" s="30" t="s">
        <v>203</v>
      </c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3.5">
      <c r="A178" s="30"/>
      <c r="B178" s="30"/>
      <c r="C178" s="30" t="s">
        <v>25</v>
      </c>
      <c r="D178" s="32">
        <f>J172</f>
        <v>25.01</v>
      </c>
      <c r="E178" s="31" t="s">
        <v>26</v>
      </c>
      <c r="F178" s="31">
        <v>0.25</v>
      </c>
      <c r="G178" s="30"/>
      <c r="H178" s="30"/>
      <c r="I178" s="31" t="s">
        <v>27</v>
      </c>
      <c r="J178" s="32">
        <f>ROUND(J172*0.25,2)</f>
        <v>6.25</v>
      </c>
      <c r="K178" s="30" t="s">
        <v>164</v>
      </c>
      <c r="L178" s="30"/>
    </row>
    <row r="179" spans="1:12" ht="13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3.5">
      <c r="A180" s="43" t="s">
        <v>33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3.5">
      <c r="A181" s="30"/>
      <c r="B181" s="30"/>
      <c r="C181" s="30" t="s">
        <v>165</v>
      </c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3.5">
      <c r="A182" s="30"/>
      <c r="B182" s="30"/>
      <c r="C182" s="30" t="s">
        <v>111</v>
      </c>
      <c r="D182" s="41">
        <f>J167</f>
        <v>8.68</v>
      </c>
      <c r="E182" s="31" t="s">
        <v>112</v>
      </c>
      <c r="F182" s="32">
        <f>J172</f>
        <v>25.01</v>
      </c>
      <c r="G182" s="31" t="s">
        <v>112</v>
      </c>
      <c r="H182" s="32">
        <f>J178</f>
        <v>6.25</v>
      </c>
      <c r="I182" s="31" t="s">
        <v>80</v>
      </c>
      <c r="J182" s="32">
        <f>J167+J172+J178</f>
        <v>39.94</v>
      </c>
      <c r="K182" s="30" t="s">
        <v>147</v>
      </c>
      <c r="L182" s="30"/>
    </row>
    <row r="183" spans="1:12" ht="13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4.25">
      <c r="A184" s="28" t="s">
        <v>286</v>
      </c>
      <c r="B184" s="29"/>
      <c r="C184" s="29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3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3.5">
      <c r="A186" s="30"/>
      <c r="B186" s="30" t="s">
        <v>34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3.5">
      <c r="A187" s="30"/>
      <c r="B187" s="30" t="s">
        <v>190</v>
      </c>
      <c r="C187" s="30"/>
      <c r="D187" s="30"/>
      <c r="E187" s="30"/>
      <c r="F187" s="30"/>
      <c r="G187" s="30" t="s">
        <v>35</v>
      </c>
      <c r="H187" s="30"/>
      <c r="I187" s="30"/>
      <c r="J187" s="30"/>
      <c r="K187" s="30"/>
      <c r="L187" s="30"/>
    </row>
    <row r="188" spans="1:12" ht="13.5">
      <c r="A188" s="30"/>
      <c r="B188" s="30"/>
      <c r="C188" s="30"/>
      <c r="D188" s="30"/>
      <c r="E188" s="30"/>
      <c r="F188" s="30"/>
      <c r="G188" s="30" t="s">
        <v>189</v>
      </c>
      <c r="H188" s="30"/>
      <c r="I188" s="30"/>
      <c r="J188" s="30"/>
      <c r="K188" s="30"/>
      <c r="L188" s="30"/>
    </row>
    <row r="189" spans="1:12" ht="13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3.5">
      <c r="A190" s="30"/>
      <c r="B190" s="30"/>
      <c r="C190" s="30"/>
      <c r="D190" s="30" t="s">
        <v>191</v>
      </c>
      <c r="E190" s="30"/>
      <c r="F190" s="30"/>
      <c r="G190" s="30"/>
      <c r="H190" s="30"/>
      <c r="I190" s="30"/>
      <c r="J190" s="30"/>
      <c r="K190" s="30"/>
      <c r="L190" s="30"/>
    </row>
    <row r="191" spans="1:12" ht="13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3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3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3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3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3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3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3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3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3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3.5">
      <c r="A201" s="30"/>
      <c r="B201" s="30"/>
      <c r="C201" s="30"/>
      <c r="D201" s="30"/>
      <c r="E201" s="30"/>
      <c r="F201" s="30"/>
      <c r="G201" s="31" t="s">
        <v>193</v>
      </c>
      <c r="H201" s="31" t="s">
        <v>85</v>
      </c>
      <c r="I201" s="72">
        <f>('設計条件'!$H$17)</f>
        <v>37</v>
      </c>
      <c r="J201" s="30" t="s">
        <v>166</v>
      </c>
      <c r="K201" s="30"/>
      <c r="L201" s="30"/>
    </row>
    <row r="202" spans="1:12" ht="13.5">
      <c r="A202" s="30"/>
      <c r="B202" s="30"/>
      <c r="C202" s="30"/>
      <c r="D202" s="30"/>
      <c r="E202" s="30"/>
      <c r="F202" s="30"/>
      <c r="G202" s="31" t="s">
        <v>167</v>
      </c>
      <c r="H202" s="31" t="s">
        <v>85</v>
      </c>
      <c r="I202" s="72">
        <f>ROUND(I201*0.866,1)</f>
        <v>32</v>
      </c>
      <c r="J202" s="30" t="s">
        <v>166</v>
      </c>
      <c r="K202" s="30"/>
      <c r="L202" s="30"/>
    </row>
    <row r="203" spans="1:12" ht="13.5">
      <c r="A203" s="30"/>
      <c r="B203" s="30"/>
      <c r="C203" s="30"/>
      <c r="D203" s="30"/>
      <c r="E203" s="30"/>
      <c r="F203" s="30"/>
      <c r="G203" s="31" t="s">
        <v>192</v>
      </c>
      <c r="H203" s="31" t="s">
        <v>85</v>
      </c>
      <c r="I203" s="30">
        <f>ROUND((1/6*(0.5*I201)*(I202)^2+((PI()*(I201)^3)/(48*SQRT(3))-(3*(I201)^3)/128)*2)*1000,0)</f>
        <v>4611073</v>
      </c>
      <c r="J203" s="30"/>
      <c r="K203" s="30"/>
      <c r="L203" s="30"/>
    </row>
    <row r="204" spans="1:12" ht="15">
      <c r="A204" s="30"/>
      <c r="B204" s="30" t="s">
        <v>168</v>
      </c>
      <c r="C204" s="30"/>
      <c r="D204" s="59" t="str">
        <f>ROUNDDOWN(J160*1000,0)*1000&amp;" ／  "&amp;I203&amp;"＝　"</f>
        <v>38110000 ／  4611073＝　</v>
      </c>
      <c r="E204" s="51"/>
      <c r="F204" s="60"/>
      <c r="G204" s="61">
        <f>ROUNDDOWN(J160*1000,0)*1000/I203</f>
        <v>8.264887586902224</v>
      </c>
      <c r="H204" s="31" t="str">
        <f>IF(G204&lt;=J204,"＜","＞")</f>
        <v>＜</v>
      </c>
      <c r="I204" s="31" t="s">
        <v>169</v>
      </c>
      <c r="J204" s="32">
        <f>'設計条件'!H28</f>
        <v>8.8</v>
      </c>
      <c r="K204" s="30" t="s">
        <v>185</v>
      </c>
      <c r="L204" s="30"/>
    </row>
    <row r="205" spans="1:12" ht="13.5">
      <c r="A205" s="30"/>
      <c r="B205" s="30"/>
      <c r="C205" s="30"/>
      <c r="D205" s="30"/>
      <c r="E205" s="30"/>
      <c r="F205" s="30"/>
      <c r="G205" s="30"/>
      <c r="H205" s="31" t="s">
        <v>170</v>
      </c>
      <c r="I205" s="31" t="str">
        <f>IF(G204&lt;J204,"OK","OUT")</f>
        <v>OK</v>
      </c>
      <c r="J205" s="30"/>
      <c r="K205" s="30"/>
      <c r="L205" s="30"/>
    </row>
    <row r="206" spans="1:12" ht="13.5">
      <c r="A206" s="30"/>
      <c r="B206" s="30"/>
      <c r="C206" s="30"/>
      <c r="D206" s="30"/>
      <c r="E206" s="30"/>
      <c r="F206" s="30"/>
      <c r="G206" s="30"/>
      <c r="H206" s="31"/>
      <c r="I206" s="31"/>
      <c r="J206" s="30"/>
      <c r="K206" s="31"/>
      <c r="L206" s="30"/>
    </row>
    <row r="207" spans="1:12" ht="13.5">
      <c r="A207" s="30"/>
      <c r="B207" s="30" t="s">
        <v>36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3.5">
      <c r="A208" s="30"/>
      <c r="B208" s="30" t="s">
        <v>132</v>
      </c>
      <c r="C208" s="30"/>
      <c r="D208" s="30"/>
      <c r="E208" s="30"/>
      <c r="F208" s="30"/>
      <c r="G208" s="30" t="s">
        <v>38</v>
      </c>
      <c r="H208" s="30"/>
      <c r="I208" s="30"/>
      <c r="J208" s="30"/>
      <c r="K208" s="30"/>
      <c r="L208" s="30"/>
    </row>
    <row r="209" spans="1:12" ht="13.5">
      <c r="A209" s="30"/>
      <c r="B209" s="30"/>
      <c r="C209" s="30"/>
      <c r="D209" s="30"/>
      <c r="E209" s="30"/>
      <c r="F209" s="30"/>
      <c r="G209" s="30" t="s">
        <v>194</v>
      </c>
      <c r="H209" s="30"/>
      <c r="I209" s="30"/>
      <c r="J209" s="30"/>
      <c r="K209" s="30"/>
      <c r="L209" s="30"/>
    </row>
    <row r="210" spans="1:12" ht="13.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3.5">
      <c r="A211" s="30"/>
      <c r="B211" s="30"/>
      <c r="C211" s="30"/>
      <c r="D211" s="30" t="s">
        <v>191</v>
      </c>
      <c r="E211" s="30"/>
      <c r="F211" s="30"/>
      <c r="G211" s="31" t="s">
        <v>171</v>
      </c>
      <c r="H211" s="31" t="s">
        <v>30</v>
      </c>
      <c r="I211" s="72">
        <f>('設計条件'!$H$17)</f>
        <v>37</v>
      </c>
      <c r="J211" s="30" t="s">
        <v>172</v>
      </c>
      <c r="K211" s="30"/>
      <c r="L211" s="30"/>
    </row>
    <row r="212" spans="1:12" ht="13.5">
      <c r="A212" s="30"/>
      <c r="B212" s="30"/>
      <c r="C212" s="30"/>
      <c r="D212" s="30"/>
      <c r="E212" s="30"/>
      <c r="F212" s="30"/>
      <c r="G212" s="31" t="s">
        <v>173</v>
      </c>
      <c r="H212" s="31" t="s">
        <v>30</v>
      </c>
      <c r="I212" s="72">
        <f>ROUND(I211*0.866,1)</f>
        <v>32</v>
      </c>
      <c r="J212" s="30" t="s">
        <v>172</v>
      </c>
      <c r="K212" s="30"/>
      <c r="L212" s="30"/>
    </row>
    <row r="213" spans="1:12" ht="15">
      <c r="A213" s="30"/>
      <c r="B213" s="30"/>
      <c r="C213" s="30"/>
      <c r="D213" s="30"/>
      <c r="E213" s="30"/>
      <c r="F213" s="30"/>
      <c r="G213" s="31" t="s">
        <v>174</v>
      </c>
      <c r="H213" s="31" t="s">
        <v>30</v>
      </c>
      <c r="I213" s="31">
        <f>ROUND((PI()*(I211*0.5)^2-(1/6*PI()*(I211*0.5)^2-I211^2*0.10825)*2)*100,0)</f>
        <v>101320</v>
      </c>
      <c r="J213" s="30" t="s">
        <v>186</v>
      </c>
      <c r="K213" s="30"/>
      <c r="L213" s="30"/>
    </row>
    <row r="214" spans="1:12" ht="15">
      <c r="A214" s="30"/>
      <c r="B214" s="30" t="s">
        <v>175</v>
      </c>
      <c r="C214" s="31" t="s">
        <v>30</v>
      </c>
      <c r="D214" s="59" t="str">
        <f>J182*1000&amp;"  ／  "&amp;I213&amp;"  ＝　　"</f>
        <v>39940  ／  101320  ＝　　</v>
      </c>
      <c r="E214" s="51"/>
      <c r="F214" s="60"/>
      <c r="G214" s="61">
        <f>ROUND(J182*1000/I213,2)</f>
        <v>0.39</v>
      </c>
      <c r="H214" s="31" t="str">
        <f>IF(G214&lt;=J214,"＜","＞")</f>
        <v>＜</v>
      </c>
      <c r="I214" s="31" t="s">
        <v>176</v>
      </c>
      <c r="J214" s="32">
        <f>'設計条件'!H29</f>
        <v>0.8</v>
      </c>
      <c r="K214" s="30" t="s">
        <v>187</v>
      </c>
      <c r="L214" s="30"/>
    </row>
    <row r="215" spans="1:12" ht="13.5">
      <c r="A215" s="30"/>
      <c r="B215" s="30"/>
      <c r="C215" s="30"/>
      <c r="D215" s="30"/>
      <c r="E215" s="30"/>
      <c r="F215" s="30"/>
      <c r="G215" s="30"/>
      <c r="H215" s="31" t="s">
        <v>177</v>
      </c>
      <c r="I215" s="31" t="str">
        <f>IF(G214&lt;=J214,"OK","OUT")</f>
        <v>OK</v>
      </c>
      <c r="J215" s="30"/>
      <c r="K215" s="30"/>
      <c r="L215" s="30"/>
    </row>
    <row r="216" spans="1:12" ht="13.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3.5">
      <c r="A232" s="2"/>
      <c r="B232" s="2"/>
      <c r="C232" s="2"/>
      <c r="D232" s="2"/>
      <c r="E232" s="2"/>
      <c r="F232" s="30"/>
      <c r="G232" s="2"/>
      <c r="H232" s="2"/>
      <c r="I232" s="2"/>
      <c r="J232" s="2"/>
      <c r="K232" s="2"/>
      <c r="L232" s="2"/>
    </row>
    <row r="233" spans="1:12" ht="13.5">
      <c r="A233" s="2"/>
      <c r="B233" s="2"/>
      <c r="C233" s="2"/>
      <c r="D233" s="2"/>
      <c r="E233" s="2"/>
      <c r="F233" s="51" t="s">
        <v>274</v>
      </c>
      <c r="G233" s="2"/>
      <c r="H233" s="2"/>
      <c r="I233" s="2"/>
      <c r="J233" s="2"/>
      <c r="K233" s="2"/>
      <c r="L233" s="2"/>
    </row>
    <row r="234" spans="1:12" ht="13.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3.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ht="13.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ht="13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ht="13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13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ht="13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3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ht="13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ht="13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ht="13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13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ht="13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ht="13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ht="13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ht="13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12" ht="13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ht="13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12" ht="13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ht="13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ht="13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ht="13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13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ht="13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ht="13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ht="13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spans="1:12" ht="13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spans="1:12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spans="1:12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spans="1:12" ht="13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spans="1:12" ht="13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3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spans="1:12" ht="13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spans="1:12" ht="13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spans="1:12" ht="13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spans="1:12" ht="13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13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spans="1:12" ht="13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spans="1:12" ht="13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3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13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ht="13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spans="1:12" ht="13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13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spans="1:12" ht="13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13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spans="1:12" ht="13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spans="1:12" ht="13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3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spans="1:12" ht="13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spans="1:12" ht="13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spans="1:12" ht="13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spans="1:12" ht="13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spans="1:12" ht="13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spans="1:12" ht="13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1:12" ht="13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1:12" ht="13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ht="13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1:12" ht="13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1:12" ht="13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3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spans="1:12" ht="13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ht="13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spans="1:12" ht="13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spans="1:12" ht="13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spans="1:12" ht="13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spans="1:12" ht="13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spans="1:12" ht="13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spans="1:12" ht="13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spans="1:12" ht="13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3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1:12" ht="13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3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1:12" ht="13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1:12" ht="13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ht="13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spans="1:12" ht="13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spans="1:12" ht="13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1:12" ht="13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spans="1:12" ht="13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spans="1:12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spans="1:12" ht="13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spans="1:12" ht="13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spans="1:12" ht="13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spans="1:12" ht="13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spans="1:12" ht="13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spans="1:12" ht="13.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spans="1:12" ht="13.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spans="1:12" ht="13.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spans="1:12" ht="13.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spans="1:12" ht="13.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spans="1:12" ht="13.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spans="1:12" ht="13.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spans="1:12" ht="13.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  <row r="332" spans="1:12" ht="13.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</row>
    <row r="333" spans="1:12" ht="13.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</row>
    <row r="334" spans="1:12" ht="13.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</row>
    <row r="335" spans="1:12" ht="13.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</row>
    <row r="336" spans="1:12" ht="13.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</row>
    <row r="337" spans="1:12" ht="13.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</row>
    <row r="338" spans="1:12" ht="13.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</row>
    <row r="339" spans="1:12" ht="13.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</row>
    <row r="340" spans="1:12" ht="13.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</row>
    <row r="341" spans="1:12" ht="13.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spans="1:12" ht="13.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</row>
    <row r="343" spans="1:12" ht="13.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</row>
    <row r="344" spans="1:12" ht="13.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</row>
    <row r="345" spans="1:12" ht="13.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</row>
    <row r="346" spans="1:12" ht="13.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</row>
    <row r="347" spans="1:12" ht="13.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</row>
    <row r="348" spans="1:12" ht="13.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spans="1:12" ht="13.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</row>
    <row r="350" spans="1:12" ht="13.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3.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</row>
    <row r="352" spans="1:12" ht="13.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</row>
    <row r="353" spans="1:12" ht="13.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</row>
    <row r="354" spans="1:12" ht="13.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</row>
    <row r="355" spans="1:12" ht="13.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</row>
    <row r="356" spans="1:12" ht="13.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</row>
    <row r="357" spans="1:12" ht="13.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</row>
    <row r="358" spans="1:12" ht="13.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</row>
    <row r="359" spans="1:12" ht="13.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</row>
    <row r="360" spans="1:12" ht="13.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</row>
    <row r="361" spans="1:12" ht="13.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</row>
    <row r="362" spans="1:12" ht="13.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</row>
    <row r="363" spans="1:12" ht="13.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ht="13.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</row>
    <row r="365" spans="1:12" ht="13.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</row>
    <row r="366" spans="1:12" ht="13.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</row>
    <row r="367" spans="1:12" ht="13.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</row>
    <row r="368" spans="1:12" ht="13.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</row>
    <row r="369" spans="1:12" ht="13.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</row>
    <row r="370" spans="1:12" ht="13.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</row>
    <row r="371" spans="1:12" ht="13.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</row>
    <row r="372" spans="1:12" ht="13.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</row>
    <row r="373" spans="1:12" ht="13.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</row>
    <row r="374" spans="1:12" ht="13.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</row>
    <row r="375" spans="1:12" ht="13.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</row>
    <row r="376" spans="1:12" ht="13.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</row>
    <row r="377" spans="1:12" ht="13.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</row>
    <row r="378" spans="1:12" ht="13.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</row>
    <row r="379" spans="1:12" ht="13.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</row>
    <row r="380" spans="1:12" ht="13.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</row>
    <row r="381" spans="1:12" ht="13.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</row>
    <row r="382" spans="1:12" ht="13.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</row>
    <row r="383" spans="1:12" ht="13.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</row>
    <row r="384" spans="1:12" ht="13.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</row>
    <row r="385" spans="1:12" ht="13.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</row>
    <row r="386" spans="1:12" ht="13.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spans="1:12" ht="13.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</row>
    <row r="388" spans="1:12" ht="13.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</row>
    <row r="389" spans="1:12" ht="13.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</row>
    <row r="390" spans="1:12" ht="13.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</row>
    <row r="391" spans="1:12" ht="13.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3.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</row>
    <row r="393" spans="1:12" ht="13.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</row>
    <row r="394" spans="1:12" ht="13.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</row>
    <row r="395" spans="1:12" ht="13.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</row>
    <row r="396" spans="1:12" ht="13.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</row>
    <row r="397" spans="1:12" ht="13.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</row>
    <row r="398" spans="1:12" ht="13.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</row>
    <row r="399" spans="1:12" ht="13.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</row>
    <row r="400" spans="1:12" ht="13.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</row>
    <row r="401" spans="1:12" ht="13.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</row>
    <row r="402" spans="1:12" ht="13.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</row>
    <row r="403" spans="1:12" ht="13.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</row>
    <row r="404" spans="1:12" ht="13.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</row>
    <row r="405" spans="1:12" ht="13.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</row>
    <row r="406" spans="1:12" ht="13.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</row>
    <row r="407" spans="1:12" ht="13.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spans="1:12" ht="13.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</row>
    <row r="409" spans="1:12" ht="13.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</row>
    <row r="410" spans="1:12" ht="13.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ht="13.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</row>
    <row r="412" spans="1:12" ht="13.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</row>
    <row r="413" spans="1:12" ht="13.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</row>
    <row r="414" spans="1:12" ht="13.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</row>
    <row r="415" spans="1:12" ht="13.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</row>
    <row r="416" spans="1:12" ht="13.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</row>
    <row r="417" spans="1:12" ht="13.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</row>
    <row r="418" spans="1:12" ht="13.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</row>
    <row r="419" spans="1:12" ht="13.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</row>
    <row r="420" spans="1:12" ht="13.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</row>
    <row r="421" spans="1:12" ht="13.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</row>
    <row r="422" spans="1:12" ht="13.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</row>
    <row r="423" spans="1:12" ht="13.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</row>
    <row r="424" spans="1:12" ht="13.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</row>
    <row r="425" spans="1:12" ht="13.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</row>
    <row r="426" spans="1:12" ht="13.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</row>
    <row r="427" spans="1:12" ht="13.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</row>
    <row r="428" spans="1:12" ht="13.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</row>
    <row r="429" spans="1:12" ht="13.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</row>
    <row r="430" spans="1:12" ht="13.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</row>
    <row r="431" spans="1:12" ht="13.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3.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3.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</row>
    <row r="434" spans="1:12" ht="13.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</row>
    <row r="435" spans="1:12" ht="13.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</row>
    <row r="436" spans="1:12" ht="13.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</row>
    <row r="437" spans="1:12" ht="13.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</row>
    <row r="438" spans="1:12" ht="13.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</row>
    <row r="439" spans="1:12" ht="13.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</row>
    <row r="440" spans="1:12" ht="13.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</row>
    <row r="441" spans="1:12" ht="13.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</row>
    <row r="442" spans="1:12" ht="13.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</row>
    <row r="443" spans="1:12" ht="13.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</row>
    <row r="444" spans="1:12" ht="13.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</row>
    <row r="445" spans="1:12" ht="13.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</row>
    <row r="446" spans="1:12" ht="13.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</row>
    <row r="447" spans="1:12" ht="13.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</row>
    <row r="448" spans="1:12" ht="13.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</row>
    <row r="449" spans="1:12" ht="13.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</row>
    <row r="450" spans="1:12" ht="13.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</row>
    <row r="451" spans="1:12" ht="13.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</row>
    <row r="452" spans="1:12" ht="13.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</row>
    <row r="453" spans="1:12" ht="13.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spans="1:12" ht="13.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</row>
    <row r="455" spans="1:12" ht="13.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</row>
    <row r="456" spans="1:12" ht="13.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</row>
    <row r="457" spans="1:12" ht="13.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</row>
    <row r="458" spans="1:12" ht="13.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</row>
    <row r="459" spans="1:12" ht="13.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</row>
    <row r="460" spans="1:12" ht="13.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</row>
    <row r="461" spans="1:12" ht="13.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</row>
    <row r="462" spans="1:12" ht="13.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</row>
    <row r="463" spans="1:12" ht="13.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</row>
    <row r="464" spans="1:12" ht="13.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</row>
    <row r="465" spans="1:12" ht="13.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</row>
    <row r="466" spans="1:12" ht="13.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</row>
    <row r="467" spans="1:12" ht="13.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</row>
    <row r="468" spans="1:12" ht="13.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</row>
    <row r="469" spans="1:12" ht="13.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</row>
    <row r="470" spans="1:12" ht="13.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</row>
    <row r="471" spans="1:12" ht="13.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</row>
    <row r="472" spans="1:12" ht="13.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</row>
    <row r="473" spans="1:12" ht="13.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3.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</row>
    <row r="475" spans="1:12" ht="13.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</row>
    <row r="476" spans="1:12" ht="13.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spans="1:12" ht="13.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</row>
    <row r="478" spans="1:12" ht="13.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</row>
    <row r="479" spans="1:12" ht="13.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</row>
    <row r="480" spans="1:12" ht="13.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</row>
    <row r="481" spans="1:12" ht="13.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</row>
    <row r="482" spans="1:12" ht="13.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</row>
    <row r="483" spans="1:12" ht="13.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</row>
    <row r="484" spans="1:12" ht="13.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</row>
    <row r="485" spans="1:12" ht="13.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</row>
    <row r="486" spans="1:12" ht="13.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</row>
    <row r="487" spans="1:12" ht="13.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</row>
    <row r="488" spans="1:12" ht="13.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</row>
    <row r="489" spans="1:12" ht="13.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</row>
    <row r="490" spans="1:12" ht="13.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</row>
    <row r="491" spans="1:12" ht="13.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</row>
    <row r="492" spans="1:12" ht="13.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</row>
    <row r="493" spans="1:12" ht="13.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</row>
    <row r="494" spans="1:12" ht="13.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</row>
    <row r="495" spans="1:12" ht="13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</row>
    <row r="496" spans="1:12" ht="13.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</row>
    <row r="497" spans="1:12" ht="13.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</row>
    <row r="498" spans="1:12" ht="13.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spans="1:12" ht="13.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</row>
    <row r="500" spans="1:12" ht="13.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</row>
    <row r="501" spans="1:12" ht="13.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</row>
    <row r="502" spans="1:12" ht="13.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</row>
    <row r="503" spans="1:12" ht="13.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</row>
    <row r="504" spans="1:12" ht="13.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</row>
    <row r="505" spans="1:12" ht="13.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</row>
    <row r="506" spans="1:12" ht="13.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</row>
  </sheetData>
  <printOptions/>
  <pageMargins left="0.5511811023622047" right="0" top="0.984251968503937" bottom="0.3937007874015748" header="0.5118110236220472" footer="0.5118110236220472"/>
  <pageSetup blackAndWhite="1"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1"/>
  <sheetViews>
    <sheetView workbookViewId="0" topLeftCell="A1">
      <selection activeCell="I44" sqref="I44"/>
    </sheetView>
  </sheetViews>
  <sheetFormatPr defaultColWidth="9.00390625" defaultRowHeight="13.5"/>
  <cols>
    <col min="4" max="4" width="7.375" style="0" customWidth="1"/>
    <col min="5" max="5" width="7.625" style="0" customWidth="1"/>
    <col min="6" max="6" width="7.375" style="0" customWidth="1"/>
    <col min="7" max="7" width="8.625" style="0" customWidth="1"/>
    <col min="8" max="9" width="7.625" style="0" customWidth="1"/>
    <col min="10" max="10" width="6.75390625" style="0" customWidth="1"/>
    <col min="11" max="11" width="7.75390625" style="0" customWidth="1"/>
  </cols>
  <sheetData>
    <row r="1" spans="1:12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">
      <c r="A2" s="27" t="s">
        <v>293</v>
      </c>
      <c r="B2" s="27"/>
      <c r="C2" s="27"/>
      <c r="D2" s="3"/>
      <c r="E2" s="2"/>
      <c r="F2" s="2"/>
      <c r="G2" s="2"/>
      <c r="H2" s="2"/>
      <c r="I2" s="2"/>
      <c r="J2" s="2"/>
      <c r="K2" s="2"/>
      <c r="L2" s="2"/>
    </row>
    <row r="3" spans="1:12" ht="13.5">
      <c r="A3" s="3"/>
      <c r="B3" s="3"/>
      <c r="C3" s="3"/>
      <c r="D3" s="3"/>
      <c r="E3" s="2"/>
      <c r="F3" s="2"/>
      <c r="G3" s="2"/>
      <c r="H3" s="2"/>
      <c r="I3" s="2"/>
      <c r="J3" s="2"/>
      <c r="K3" s="2"/>
      <c r="L3" s="2"/>
    </row>
    <row r="4" spans="1:12" ht="15.75">
      <c r="A4" s="28" t="s">
        <v>294</v>
      </c>
      <c r="B4" s="28"/>
      <c r="C4" s="28"/>
      <c r="D4" s="28"/>
      <c r="E4" s="2"/>
      <c r="F4" s="2"/>
      <c r="G4" s="2"/>
      <c r="H4" s="2"/>
      <c r="I4" s="2"/>
      <c r="J4" s="2"/>
      <c r="K4" s="2"/>
      <c r="L4" s="2"/>
    </row>
    <row r="5" spans="1:12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2"/>
    </row>
    <row r="7" spans="1:12" ht="13.5">
      <c r="A7" s="30"/>
      <c r="B7" s="30" t="s">
        <v>46</v>
      </c>
      <c r="C7" s="30"/>
      <c r="D7" s="30"/>
      <c r="E7" s="30"/>
      <c r="F7" s="30"/>
      <c r="G7" s="30"/>
      <c r="H7" s="30"/>
      <c r="I7" s="30"/>
      <c r="J7" s="30"/>
      <c r="K7" s="30"/>
      <c r="L7" s="2"/>
    </row>
    <row r="8" spans="1:12" ht="13.5">
      <c r="A8" s="30"/>
      <c r="B8" s="30" t="s">
        <v>47</v>
      </c>
      <c r="C8" s="30"/>
      <c r="D8" s="30"/>
      <c r="E8" s="30"/>
      <c r="F8" s="30"/>
      <c r="G8" s="30"/>
      <c r="H8" s="30"/>
      <c r="I8" s="30"/>
      <c r="J8" s="30"/>
      <c r="K8" s="30"/>
      <c r="L8" s="2"/>
    </row>
    <row r="9" spans="1:12" ht="13.5">
      <c r="A9" s="30"/>
      <c r="B9" s="30" t="s">
        <v>48</v>
      </c>
      <c r="C9" s="30"/>
      <c r="D9" s="30"/>
      <c r="E9" s="30"/>
      <c r="F9" s="30"/>
      <c r="G9" s="30"/>
      <c r="H9" s="30"/>
      <c r="I9" s="30"/>
      <c r="J9" s="30"/>
      <c r="K9" s="30"/>
      <c r="L9" s="2"/>
    </row>
    <row r="10" spans="1:12" ht="13.5">
      <c r="A10" s="30"/>
      <c r="B10" s="30" t="s">
        <v>218</v>
      </c>
      <c r="C10" s="30"/>
      <c r="D10" s="30"/>
      <c r="E10" s="30"/>
      <c r="F10" s="30"/>
      <c r="G10" s="30"/>
      <c r="H10" s="30"/>
      <c r="I10" s="30"/>
      <c r="J10" s="30"/>
      <c r="K10" s="30"/>
      <c r="L10" s="2"/>
    </row>
    <row r="11" spans="1:12" ht="13.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2"/>
    </row>
    <row r="12" spans="1:12" ht="13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2"/>
    </row>
    <row r="13" spans="1:12" ht="13.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"/>
    </row>
    <row r="14" spans="1:1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4.25">
      <c r="A16" s="28" t="s">
        <v>295</v>
      </c>
      <c r="B16" s="28"/>
      <c r="C16" s="28"/>
      <c r="D16" s="28"/>
      <c r="E16" s="28"/>
      <c r="F16" s="2"/>
      <c r="G16" s="2"/>
      <c r="H16" s="2"/>
      <c r="I16" s="2"/>
      <c r="J16" s="2"/>
      <c r="K16" s="2"/>
      <c r="L16" s="2"/>
    </row>
    <row r="17" spans="1:12" ht="13.5">
      <c r="A17" s="3"/>
      <c r="B17" s="57"/>
      <c r="C17" s="57"/>
      <c r="D17" s="57"/>
      <c r="E17" s="57"/>
      <c r="F17" s="30"/>
      <c r="G17" s="30"/>
      <c r="H17" s="30"/>
      <c r="I17" s="30"/>
      <c r="J17" s="30"/>
      <c r="K17" s="30"/>
      <c r="L17" s="2"/>
    </row>
    <row r="18" spans="1:12" ht="13.5">
      <c r="A18" s="2"/>
      <c r="B18" s="30"/>
      <c r="C18" s="30" t="s">
        <v>238</v>
      </c>
      <c r="D18" s="30"/>
      <c r="E18" s="30"/>
      <c r="F18" s="30"/>
      <c r="G18" s="30"/>
      <c r="H18" s="30"/>
      <c r="I18" s="30"/>
      <c r="J18" s="30"/>
      <c r="K18" s="30"/>
      <c r="L18" s="2"/>
    </row>
    <row r="19" spans="1:12" ht="13.5">
      <c r="A19" s="2"/>
      <c r="B19" s="30"/>
      <c r="C19" s="30"/>
      <c r="D19" s="32">
        <f>'1.床版　2.主桁'!J182</f>
        <v>39.94</v>
      </c>
      <c r="E19" s="31" t="s">
        <v>90</v>
      </c>
      <c r="F19" s="72">
        <f>('設計条件'!$H$21)*1/2</f>
        <v>0</v>
      </c>
      <c r="G19" s="30"/>
      <c r="H19" s="30"/>
      <c r="I19" s="31" t="s">
        <v>188</v>
      </c>
      <c r="J19" s="32">
        <f>ROUND(D19*F19,2)</f>
        <v>0</v>
      </c>
      <c r="K19" s="30" t="s">
        <v>91</v>
      </c>
      <c r="L19" s="2"/>
    </row>
    <row r="20" spans="1:12" ht="13.5">
      <c r="A20" s="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"/>
    </row>
    <row r="21" spans="1:12" ht="14.25">
      <c r="A21" s="28" t="s">
        <v>296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2"/>
    </row>
    <row r="22" spans="1:1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3.5">
      <c r="A23" s="2"/>
      <c r="B23" s="2"/>
      <c r="C23" s="30" t="s">
        <v>219</v>
      </c>
      <c r="D23" s="32">
        <f>'1.床版　2.主桁'!J182</f>
        <v>39.94</v>
      </c>
      <c r="E23" s="30"/>
      <c r="F23" s="30"/>
      <c r="G23" s="30"/>
      <c r="H23" s="30"/>
      <c r="I23" s="31" t="s">
        <v>118</v>
      </c>
      <c r="J23" s="32">
        <f>'1.床版　2.主桁'!J182</f>
        <v>39.94</v>
      </c>
      <c r="K23" s="30" t="s">
        <v>220</v>
      </c>
      <c r="L23" s="2"/>
    </row>
    <row r="24" spans="1:12" ht="13.5">
      <c r="A24" s="2"/>
      <c r="B24" s="2"/>
      <c r="C24" s="2"/>
      <c r="D24" s="5"/>
      <c r="E24" s="4"/>
      <c r="F24" s="4"/>
      <c r="G24" s="2"/>
      <c r="H24" s="2"/>
      <c r="I24" s="4"/>
      <c r="J24" s="5"/>
      <c r="K24" s="2"/>
      <c r="L24" s="2"/>
    </row>
    <row r="25" spans="1:12" ht="14.25">
      <c r="A25" s="28" t="s">
        <v>297</v>
      </c>
      <c r="B25" s="29"/>
      <c r="C25" s="29"/>
      <c r="D25" s="29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2"/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>
      <c r="A28" s="2"/>
      <c r="B28" s="30" t="s">
        <v>204</v>
      </c>
      <c r="C28" s="30"/>
      <c r="D28" s="30"/>
      <c r="E28" s="30"/>
      <c r="F28" s="30"/>
      <c r="G28" s="30" t="s">
        <v>35</v>
      </c>
      <c r="H28" s="30"/>
      <c r="I28" s="30"/>
      <c r="J28" s="30"/>
      <c r="K28" s="30"/>
      <c r="L28" s="30"/>
    </row>
    <row r="29" spans="1:12" ht="13.5">
      <c r="A29" s="2"/>
      <c r="B29" s="30"/>
      <c r="C29" s="30"/>
      <c r="D29" s="30"/>
      <c r="E29" s="30"/>
      <c r="F29" s="30"/>
      <c r="G29" s="30" t="s">
        <v>189</v>
      </c>
      <c r="H29" s="30"/>
      <c r="I29" s="30"/>
      <c r="J29" s="30"/>
      <c r="K29" s="30"/>
      <c r="L29" s="30"/>
    </row>
    <row r="30" spans="1:12" ht="13.5">
      <c r="A30" s="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3.5">
      <c r="A31" s="2"/>
      <c r="B31" s="30"/>
      <c r="C31" s="30"/>
      <c r="D31" s="30" t="s">
        <v>191</v>
      </c>
      <c r="E31" s="30"/>
      <c r="F31" s="30"/>
      <c r="G31" s="30"/>
      <c r="H31" s="30"/>
      <c r="I31" s="30"/>
      <c r="J31" s="30"/>
      <c r="K31" s="30"/>
      <c r="L31" s="30"/>
    </row>
    <row r="32" spans="1:12" ht="13.5">
      <c r="A32" s="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3.5">
      <c r="A33" s="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3.5">
      <c r="A34" s="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3.5">
      <c r="A35" s="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3.5">
      <c r="A36" s="2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3.5">
      <c r="A37" s="2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3.5">
      <c r="A38" s="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3.5">
      <c r="A39" s="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3.5">
      <c r="A40" s="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3.5">
      <c r="A41" s="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3.5">
      <c r="A42" s="2"/>
      <c r="B42" s="30"/>
      <c r="C42" s="30"/>
      <c r="D42" s="30"/>
      <c r="E42" s="30"/>
      <c r="F42" s="30"/>
      <c r="G42" s="31" t="s">
        <v>205</v>
      </c>
      <c r="H42" s="31" t="s">
        <v>206</v>
      </c>
      <c r="I42" s="72">
        <f>('設計条件'!$H$22)</f>
        <v>0</v>
      </c>
      <c r="J42" s="30" t="s">
        <v>207</v>
      </c>
      <c r="K42" s="30"/>
      <c r="L42" s="30"/>
    </row>
    <row r="43" spans="1:12" ht="13.5">
      <c r="A43" s="2"/>
      <c r="B43" s="30"/>
      <c r="C43" s="30"/>
      <c r="D43" s="30"/>
      <c r="E43" s="30"/>
      <c r="F43" s="30"/>
      <c r="G43" s="31" t="s">
        <v>208</v>
      </c>
      <c r="H43" s="31" t="s">
        <v>206</v>
      </c>
      <c r="I43" s="72">
        <f>ROUND(I42*0.866,1)</f>
        <v>0</v>
      </c>
      <c r="J43" s="30" t="s">
        <v>207</v>
      </c>
      <c r="K43" s="30"/>
      <c r="L43" s="30"/>
    </row>
    <row r="44" spans="1:12" ht="13.5">
      <c r="A44" s="2"/>
      <c r="B44" s="30"/>
      <c r="C44" s="30"/>
      <c r="D44" s="30"/>
      <c r="E44" s="30"/>
      <c r="F44" s="30"/>
      <c r="G44" s="31" t="s">
        <v>209</v>
      </c>
      <c r="H44" s="31" t="s">
        <v>206</v>
      </c>
      <c r="I44" s="30">
        <f>ROUND((1/6*(0.5*I42)*(I43)^2+((PI()*(I42)^3)/(48*SQRT(3))-(3*(I42)^3)/128)*2)*1000,0)</f>
        <v>0</v>
      </c>
      <c r="J44" s="30"/>
      <c r="K44" s="30"/>
      <c r="L44" s="30"/>
    </row>
    <row r="45" spans="1:12" ht="15">
      <c r="A45" s="2"/>
      <c r="B45" s="30" t="s">
        <v>210</v>
      </c>
      <c r="C45" s="30"/>
      <c r="D45" s="59" t="str">
        <f>ROUNDDOWN(J19*1000,0)*1000&amp;" ／  "&amp;I44&amp;"＝　"</f>
        <v>0 ／  0＝　</v>
      </c>
      <c r="E45" s="51"/>
      <c r="F45" s="60"/>
      <c r="G45" s="61" t="e">
        <f>ROUNDDOWN(J19*1000,0)*1000/I44</f>
        <v>#DIV/0!</v>
      </c>
      <c r="H45" s="31" t="e">
        <f>IF(G45&lt;=J45,"＜","＞")</f>
        <v>#DIV/0!</v>
      </c>
      <c r="I45" s="31" t="s">
        <v>211</v>
      </c>
      <c r="J45" s="32">
        <f>'設計条件'!$H$28</f>
        <v>8.8</v>
      </c>
      <c r="K45" s="30" t="s">
        <v>212</v>
      </c>
      <c r="L45" s="30"/>
    </row>
    <row r="46" spans="1:12" ht="13.5">
      <c r="A46" s="2"/>
      <c r="B46" s="30"/>
      <c r="C46" s="30"/>
      <c r="D46" s="30"/>
      <c r="E46" s="30"/>
      <c r="F46" s="30"/>
      <c r="G46" s="30"/>
      <c r="H46" s="31" t="s">
        <v>213</v>
      </c>
      <c r="I46" s="31" t="e">
        <f>IF(G45&lt;J45,"OK","OUT")</f>
        <v>#DIV/0!</v>
      </c>
      <c r="J46" s="30"/>
      <c r="K46" s="30"/>
      <c r="L46" s="30"/>
    </row>
    <row r="47" spans="1:12" ht="13.5">
      <c r="A47" s="2"/>
      <c r="B47" s="30"/>
      <c r="C47" s="30"/>
      <c r="D47" s="30"/>
      <c r="E47" s="30"/>
      <c r="F47" s="30"/>
      <c r="G47" s="30"/>
      <c r="H47" s="31"/>
      <c r="I47" s="31"/>
      <c r="J47" s="30"/>
      <c r="K47" s="31"/>
      <c r="L47" s="30"/>
    </row>
    <row r="48" spans="1:12" ht="13.5">
      <c r="A48" s="2"/>
      <c r="B48" s="30" t="s">
        <v>36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3.5">
      <c r="A49" s="2"/>
      <c r="B49" s="30" t="s">
        <v>37</v>
      </c>
      <c r="C49" s="30"/>
      <c r="D49" s="30"/>
      <c r="E49" s="30"/>
      <c r="F49" s="30"/>
      <c r="G49" s="30" t="s">
        <v>38</v>
      </c>
      <c r="H49" s="30"/>
      <c r="I49" s="30"/>
      <c r="J49" s="30"/>
      <c r="K49" s="30"/>
      <c r="L49" s="30"/>
    </row>
    <row r="50" spans="1:12" ht="13.5">
      <c r="A50" s="2"/>
      <c r="B50" s="30"/>
      <c r="C50" s="30"/>
      <c r="D50" s="30"/>
      <c r="E50" s="30"/>
      <c r="F50" s="30"/>
      <c r="G50" s="30" t="s">
        <v>194</v>
      </c>
      <c r="H50" s="30"/>
      <c r="I50" s="30"/>
      <c r="J50" s="30"/>
      <c r="K50" s="30"/>
      <c r="L50" s="30"/>
    </row>
    <row r="51" spans="1:12" ht="13.5">
      <c r="A51" s="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3.5">
      <c r="A52" s="2"/>
      <c r="B52" s="30"/>
      <c r="C52" s="30"/>
      <c r="D52" s="30" t="s">
        <v>191</v>
      </c>
      <c r="E52" s="30"/>
      <c r="F52" s="30"/>
      <c r="G52" s="31" t="s">
        <v>205</v>
      </c>
      <c r="H52" s="31" t="s">
        <v>206</v>
      </c>
      <c r="I52" s="72">
        <f>('設計条件'!$H$22)</f>
        <v>0</v>
      </c>
      <c r="J52" s="30" t="s">
        <v>207</v>
      </c>
      <c r="K52" s="30"/>
      <c r="L52" s="30"/>
    </row>
    <row r="53" spans="1:12" ht="13.5">
      <c r="A53" s="2"/>
      <c r="B53" s="30"/>
      <c r="C53" s="30"/>
      <c r="D53" s="30"/>
      <c r="E53" s="30"/>
      <c r="F53" s="30"/>
      <c r="G53" s="31" t="s">
        <v>208</v>
      </c>
      <c r="H53" s="31" t="s">
        <v>206</v>
      </c>
      <c r="I53" s="72">
        <f>ROUND(I52*0.866,1)</f>
        <v>0</v>
      </c>
      <c r="J53" s="30" t="s">
        <v>207</v>
      </c>
      <c r="K53" s="30"/>
      <c r="L53" s="30"/>
    </row>
    <row r="54" spans="1:12" ht="15">
      <c r="A54" s="2"/>
      <c r="B54" s="30"/>
      <c r="C54" s="30"/>
      <c r="D54" s="30"/>
      <c r="E54" s="30"/>
      <c r="F54" s="30"/>
      <c r="G54" s="31" t="s">
        <v>214</v>
      </c>
      <c r="H54" s="31" t="s">
        <v>206</v>
      </c>
      <c r="I54" s="31">
        <f>ROUND((PI()*(I52*0.5)^2-(1/6*PI()*(I52*0.5)^2-I52^2*0.10825)*2)*100,0)</f>
        <v>0</v>
      </c>
      <c r="J54" s="30" t="s">
        <v>215</v>
      </c>
      <c r="K54" s="30"/>
      <c r="L54" s="30"/>
    </row>
    <row r="55" spans="1:12" ht="15">
      <c r="A55" s="2"/>
      <c r="B55" s="30" t="s">
        <v>216</v>
      </c>
      <c r="C55" s="31" t="s">
        <v>206</v>
      </c>
      <c r="D55" s="59" t="str">
        <f>ROUNDDOWN(J23*1000,0)&amp;"  ／  "&amp;I54&amp;"  ＝　　"</f>
        <v>39940  ／  0  ＝　　</v>
      </c>
      <c r="E55" s="51"/>
      <c r="F55" s="60"/>
      <c r="G55" s="61" t="e">
        <f>ROUNDDOWN(J23*1000,0)/I54</f>
        <v>#DIV/0!</v>
      </c>
      <c r="H55" s="31" t="e">
        <f>IF(G55&lt;=J55,"＜","＞")</f>
        <v>#DIV/0!</v>
      </c>
      <c r="I55" s="31" t="s">
        <v>217</v>
      </c>
      <c r="J55" s="32">
        <f>'設計条件'!$H$29</f>
        <v>0.8</v>
      </c>
      <c r="K55" s="30" t="s">
        <v>212</v>
      </c>
      <c r="L55" s="30"/>
    </row>
    <row r="56" spans="1:12" ht="13.5">
      <c r="A56" s="2"/>
      <c r="B56" s="30"/>
      <c r="C56" s="30"/>
      <c r="D56" s="30"/>
      <c r="E56" s="30"/>
      <c r="F56" s="30"/>
      <c r="G56" s="30"/>
      <c r="H56" s="31" t="s">
        <v>213</v>
      </c>
      <c r="I56" s="31" t="e">
        <f>IF(G55&lt;J55,"OK","OUT")</f>
        <v>#DIV/0!</v>
      </c>
      <c r="J56" s="30"/>
      <c r="K56" s="30"/>
      <c r="L56" s="30"/>
    </row>
    <row r="57" spans="1:12" ht="13.5">
      <c r="A57" s="2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3.5">
      <c r="A58" s="2"/>
      <c r="B58" s="30"/>
      <c r="C58" s="30"/>
      <c r="D58" s="30"/>
      <c r="E58" s="30"/>
      <c r="F58" s="51" t="s">
        <v>221</v>
      </c>
      <c r="G58" s="30"/>
      <c r="H58" s="30"/>
      <c r="I58" s="30"/>
      <c r="J58" s="30"/>
      <c r="K58" s="30"/>
      <c r="L58" s="30"/>
    </row>
    <row r="59" spans="1:12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3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3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3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3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3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3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3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3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3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3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3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3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3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3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3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3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3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3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3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3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3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3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3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13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13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3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3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3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3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3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3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3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3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3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3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3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3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3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3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3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3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3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3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3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3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3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3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3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3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3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3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3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13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3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3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3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3.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3.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3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3.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3.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13.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13.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13.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13.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13.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13.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13.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13.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13.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3.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13.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13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3.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3.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13.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13.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13.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3.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13.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3.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3.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3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3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3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3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3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3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3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3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3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3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3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3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3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3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3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3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3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3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3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3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3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3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3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3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3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3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3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3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3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3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3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3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3.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3.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3.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13.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3.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3.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3.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3.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ht="13.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3.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3.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3.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3.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ht="13.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3.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3.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ht="13.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3.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ht="13.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3.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13.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ht="13.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13.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ht="13.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ht="13.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ht="13.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ht="13.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3.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3.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ht="13.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ht="13.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ht="13.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ht="13.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ht="13.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3.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ht="13.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ht="13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ht="13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13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ht="13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3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ht="13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ht="13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ht="13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13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ht="13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ht="13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ht="13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ht="13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12" ht="13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ht="13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12" ht="13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ht="13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ht="13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ht="13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13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ht="13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ht="13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ht="13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spans="1:12" ht="13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spans="1:12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spans="1:12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spans="1:12" ht="13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spans="1:12" ht="13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3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spans="1:12" ht="13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spans="1:12" ht="13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spans="1:12" ht="13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spans="1:12" ht="13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13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spans="1:12" ht="13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spans="1:12" ht="13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3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13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ht="13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spans="1:12" ht="13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13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spans="1:12" ht="13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13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spans="1:12" ht="13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spans="1:12" ht="13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3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spans="1:12" ht="13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spans="1:12" ht="13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spans="1:12" ht="13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spans="1:12" ht="13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spans="1:12" ht="13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spans="1:12" ht="13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1:12" ht="13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1:12" ht="13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ht="13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1:12" ht="13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1:12" ht="13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3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spans="1:12" ht="13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ht="13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spans="1:12" ht="13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spans="1:12" ht="13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spans="1:12" ht="13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spans="1:12" ht="13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spans="1:12" ht="13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spans="1:12" ht="13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spans="1:12" ht="13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3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1:12" ht="13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3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1:12" ht="13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1:12" ht="13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ht="13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spans="1:12" ht="13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spans="1:12" ht="13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1:12" ht="13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spans="1:12" ht="13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spans="1:12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spans="1:12" ht="13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spans="1:12" ht="13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spans="1:12" ht="13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spans="1:12" ht="13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spans="1:12" ht="13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spans="1:12" ht="13.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spans="1:12" ht="13.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spans="1:12" ht="13.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spans="1:12" ht="13.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spans="1:12" ht="13.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spans="1:12" ht="13.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spans="1:12" ht="13.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spans="1:12" ht="13.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</sheetData>
  <printOptions/>
  <pageMargins left="0.537401575" right="0" top="0.984251968503937" bottom="0.419291339" header="0.511811023622047" footer="0.511811023622047"/>
  <pageSetup blackAndWhite="1" horizontalDpi="240" verticalDpi="24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L331"/>
  <sheetViews>
    <sheetView tabSelected="1" workbookViewId="0" topLeftCell="A4">
      <selection activeCell="A26" sqref="A26"/>
    </sheetView>
  </sheetViews>
  <sheetFormatPr defaultColWidth="9.00390625" defaultRowHeight="13.5"/>
  <cols>
    <col min="4" max="4" width="7.375" style="0" customWidth="1"/>
    <col min="5" max="5" width="7.625" style="0" customWidth="1"/>
    <col min="6" max="6" width="7.375" style="0" customWidth="1"/>
    <col min="7" max="7" width="8.625" style="0" customWidth="1"/>
    <col min="8" max="9" width="7.625" style="0" customWidth="1"/>
    <col min="10" max="10" width="6.75390625" style="0" customWidth="1"/>
    <col min="11" max="11" width="7.75390625" style="0" customWidth="1"/>
  </cols>
  <sheetData>
    <row r="1" spans="1:12" ht="13.5">
      <c r="A1" s="2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">
      <c r="A2" s="27" t="s">
        <v>289</v>
      </c>
      <c r="B2" s="27"/>
      <c r="C2" s="27"/>
      <c r="D2" s="3"/>
      <c r="E2" s="2"/>
      <c r="F2" s="2"/>
      <c r="G2" s="2"/>
      <c r="H2" s="2"/>
      <c r="I2" s="2"/>
      <c r="J2" s="2"/>
      <c r="K2" s="2"/>
      <c r="L2" s="2"/>
    </row>
    <row r="3" spans="1:12" ht="15.75">
      <c r="A3" s="3"/>
      <c r="B3" s="3"/>
      <c r="C3" s="28"/>
      <c r="D3" s="3"/>
      <c r="E3" s="2"/>
      <c r="F3" s="2"/>
      <c r="G3" s="2"/>
      <c r="H3" s="2"/>
      <c r="I3" s="2"/>
      <c r="J3" s="2"/>
      <c r="K3" s="2"/>
      <c r="L3" s="2"/>
    </row>
    <row r="4" spans="1:12" ht="15.75">
      <c r="A4" s="28" t="s">
        <v>290</v>
      </c>
      <c r="B4" s="28"/>
      <c r="C4" s="28"/>
      <c r="D4" s="28"/>
      <c r="E4" s="2"/>
      <c r="F4" s="2"/>
      <c r="G4" s="2"/>
      <c r="H4" s="2"/>
      <c r="I4" s="2"/>
      <c r="J4" s="2"/>
      <c r="K4" s="2"/>
      <c r="L4" s="2"/>
    </row>
    <row r="5" spans="1:12" ht="15">
      <c r="A5" s="29"/>
      <c r="B5" s="29"/>
      <c r="C5" s="29"/>
      <c r="D5" s="29"/>
      <c r="E5" s="2"/>
      <c r="F5" s="2"/>
      <c r="G5" s="2"/>
      <c r="H5" s="2"/>
      <c r="I5" s="2"/>
      <c r="J5" s="2"/>
      <c r="K5" s="2"/>
      <c r="L5" s="2"/>
    </row>
    <row r="6" spans="1:12" ht="13.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3.5">
      <c r="A7" s="30"/>
      <c r="B7" s="30" t="s">
        <v>59</v>
      </c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3.5">
      <c r="A8" s="30"/>
      <c r="B8" s="30" t="s">
        <v>60</v>
      </c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3.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3.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3.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3.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3.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3.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3.5">
      <c r="A15" s="30"/>
      <c r="B15" s="30" t="s">
        <v>61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3.5">
      <c r="A16" s="30"/>
      <c r="B16" s="30"/>
      <c r="C16" s="30" t="s">
        <v>288</v>
      </c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3.5">
      <c r="A17" s="30"/>
      <c r="B17" s="30"/>
      <c r="C17" s="30" t="s">
        <v>222</v>
      </c>
      <c r="D17" s="32">
        <f>'設計条件'!$H$25</f>
        <v>1.5</v>
      </c>
      <c r="E17" s="31" t="s">
        <v>223</v>
      </c>
      <c r="F17" s="31">
        <v>294</v>
      </c>
      <c r="G17" s="30"/>
      <c r="H17" s="30"/>
      <c r="I17" s="31" t="s">
        <v>224</v>
      </c>
      <c r="J17" s="30">
        <f>ROUND(D17*294,0)</f>
        <v>441</v>
      </c>
      <c r="K17" s="30" t="s">
        <v>225</v>
      </c>
      <c r="L17" s="30"/>
    </row>
    <row r="18" spans="1:1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4.25">
      <c r="A19" s="28" t="s">
        <v>291</v>
      </c>
      <c r="B19" s="28"/>
      <c r="C19" s="28"/>
      <c r="D19" s="28"/>
      <c r="E19" s="6"/>
      <c r="F19" s="2"/>
      <c r="G19" s="2"/>
      <c r="H19" s="2"/>
      <c r="I19" s="2"/>
      <c r="J19" s="2"/>
      <c r="K19" s="2"/>
      <c r="L19" s="2"/>
    </row>
    <row r="20" spans="1:12" ht="13.5">
      <c r="A20" s="3"/>
      <c r="B20" s="57"/>
      <c r="C20" s="57"/>
      <c r="D20" s="57"/>
      <c r="E20" s="57"/>
      <c r="F20" s="30"/>
      <c r="G20" s="30"/>
      <c r="H20" s="30"/>
      <c r="I20" s="30"/>
      <c r="J20" s="30"/>
      <c r="K20" s="30"/>
      <c r="L20" s="30"/>
    </row>
    <row r="21" spans="1:12" ht="13.5">
      <c r="A21" s="2"/>
      <c r="B21" s="30"/>
      <c r="C21" s="30" t="s">
        <v>226</v>
      </c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3.5">
      <c r="A22" s="2"/>
      <c r="B22" s="30"/>
      <c r="C22" s="30" t="s">
        <v>287</v>
      </c>
      <c r="D22" s="32">
        <f>J17</f>
        <v>441</v>
      </c>
      <c r="E22" s="31" t="s">
        <v>227</v>
      </c>
      <c r="F22" s="44">
        <f>'設計条件'!$H$26</f>
        <v>1.2</v>
      </c>
      <c r="G22" s="30"/>
      <c r="H22" s="30"/>
      <c r="I22" s="31" t="s">
        <v>75</v>
      </c>
      <c r="J22" s="73">
        <f>ROUND(D22*F22,0)</f>
        <v>529</v>
      </c>
      <c r="K22" s="30" t="s">
        <v>228</v>
      </c>
      <c r="L22" s="30"/>
    </row>
    <row r="23" spans="1:12" ht="13.5">
      <c r="A23" s="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3.5">
      <c r="A24" s="2"/>
      <c r="B24" s="30"/>
      <c r="C24" s="30"/>
      <c r="D24" s="32"/>
      <c r="E24" s="31"/>
      <c r="F24" s="31"/>
      <c r="G24" s="30"/>
      <c r="H24" s="30"/>
      <c r="I24" s="31"/>
      <c r="J24" s="32"/>
      <c r="K24" s="30"/>
      <c r="L24" s="30"/>
    </row>
    <row r="25" spans="1:12" ht="14.25">
      <c r="A25" s="28" t="s">
        <v>292</v>
      </c>
      <c r="B25" s="29"/>
      <c r="C25" s="29"/>
      <c r="D25" s="2"/>
      <c r="E25" s="2"/>
      <c r="F25" s="2"/>
      <c r="G25" s="2"/>
      <c r="H25" s="2"/>
      <c r="I25" s="2"/>
      <c r="J25" s="2"/>
      <c r="K25" s="2"/>
      <c r="L25" s="2"/>
    </row>
    <row r="26" spans="1:1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3.5">
      <c r="A27" s="30"/>
      <c r="B27" s="30" t="s">
        <v>34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3.5">
      <c r="A28" s="30"/>
      <c r="B28" s="30" t="s">
        <v>235</v>
      </c>
      <c r="C28" s="30"/>
      <c r="D28" s="30"/>
      <c r="E28" s="30"/>
      <c r="F28" s="30"/>
      <c r="G28" s="30" t="s">
        <v>35</v>
      </c>
      <c r="H28" s="30"/>
      <c r="I28" s="30"/>
      <c r="J28" s="30"/>
      <c r="K28" s="30"/>
      <c r="L28" s="30"/>
    </row>
    <row r="29" spans="1:12" ht="15">
      <c r="A29" s="30"/>
      <c r="B29" s="30"/>
      <c r="C29" s="30"/>
      <c r="D29" s="30"/>
      <c r="E29" s="30"/>
      <c r="F29" s="30"/>
      <c r="G29" s="30" t="s">
        <v>236</v>
      </c>
      <c r="H29" s="30"/>
      <c r="I29" s="30"/>
      <c r="J29" s="30"/>
      <c r="K29" s="30"/>
      <c r="L29" s="30"/>
    </row>
    <row r="30" spans="1:12" ht="13.5">
      <c r="A30" s="30"/>
      <c r="B30" s="30"/>
      <c r="C30" s="30"/>
      <c r="D30" s="30"/>
      <c r="E30" s="30"/>
      <c r="F30" s="30"/>
      <c r="G30" s="31" t="s">
        <v>237</v>
      </c>
      <c r="H30" s="31" t="s">
        <v>229</v>
      </c>
      <c r="I30" s="30">
        <f>ROUND(('設計条件'!$I$24*('設計条件'!$L$24)^2)/6,0)</f>
        <v>288</v>
      </c>
      <c r="J30" s="30"/>
      <c r="K30" s="30"/>
      <c r="L30" s="30"/>
    </row>
    <row r="31" spans="1:12" ht="15">
      <c r="A31" s="30"/>
      <c r="B31" s="30" t="s">
        <v>230</v>
      </c>
      <c r="C31" s="30"/>
      <c r="D31" s="59" t="str">
        <f>J22*1000&amp;" ／  "&amp;I30*1000&amp;"＝　"</f>
        <v>529000 ／  288000＝　</v>
      </c>
      <c r="E31" s="51"/>
      <c r="F31" s="60"/>
      <c r="G31" s="61">
        <f>J22*1000/(I30*1000)</f>
        <v>1.8368055555555556</v>
      </c>
      <c r="H31" s="31" t="str">
        <f>IF(G31&lt;=J31,"＜","＞")</f>
        <v>＜</v>
      </c>
      <c r="I31" s="31" t="s">
        <v>231</v>
      </c>
      <c r="J31" s="32">
        <f>'設計条件'!$H$28</f>
        <v>8.8</v>
      </c>
      <c r="K31" s="30" t="s">
        <v>232</v>
      </c>
      <c r="L31" s="30"/>
    </row>
    <row r="32" spans="1:12" ht="13.5">
      <c r="A32" s="30"/>
      <c r="B32" s="30"/>
      <c r="C32" s="30"/>
      <c r="D32" s="30"/>
      <c r="E32" s="30"/>
      <c r="F32" s="30"/>
      <c r="G32" s="30"/>
      <c r="H32" s="31" t="s">
        <v>233</v>
      </c>
      <c r="I32" s="31" t="str">
        <f>IF(G31&lt;J31,"OK","OUT")</f>
        <v>OK</v>
      </c>
      <c r="J32" s="30"/>
      <c r="K32" s="30"/>
      <c r="L32" s="30"/>
    </row>
    <row r="33" spans="1:12" ht="13.5">
      <c r="A33" s="30"/>
      <c r="B33" s="30"/>
      <c r="C33" s="30"/>
      <c r="D33" s="30"/>
      <c r="E33" s="30"/>
      <c r="F33" s="30"/>
      <c r="G33" s="30"/>
      <c r="H33" s="31"/>
      <c r="I33" s="31"/>
      <c r="J33" s="30"/>
      <c r="K33" s="31"/>
      <c r="L33" s="30"/>
    </row>
    <row r="34" spans="1:12" ht="13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3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3.5">
      <c r="A38" s="2"/>
      <c r="B38" s="2"/>
      <c r="C38" s="2"/>
      <c r="D38" s="2"/>
      <c r="E38" s="2"/>
      <c r="F38" s="2"/>
      <c r="G38" s="4"/>
      <c r="H38" s="4"/>
      <c r="I38" s="9"/>
      <c r="J38" s="2"/>
      <c r="K38" s="2"/>
      <c r="L38" s="2"/>
    </row>
    <row r="39" spans="1:12" ht="13.5">
      <c r="A39" s="2"/>
      <c r="B39" s="2"/>
      <c r="C39" s="2"/>
      <c r="D39" s="2"/>
      <c r="E39" s="2"/>
      <c r="F39" s="2"/>
      <c r="G39" s="4"/>
      <c r="H39" s="4"/>
      <c r="I39" s="9"/>
      <c r="J39" s="2"/>
      <c r="K39" s="2"/>
      <c r="L39" s="2"/>
    </row>
    <row r="40" spans="1:12" ht="13.5">
      <c r="A40" s="2"/>
      <c r="B40" s="2"/>
      <c r="C40" s="2"/>
      <c r="D40" s="2"/>
      <c r="E40" s="2"/>
      <c r="F40" s="2"/>
      <c r="G40" s="4"/>
      <c r="H40" s="4"/>
      <c r="I40" s="4"/>
      <c r="J40" s="2"/>
      <c r="K40" s="2"/>
      <c r="L40" s="2"/>
    </row>
    <row r="41" spans="1:12" ht="13.5">
      <c r="A41" s="2"/>
      <c r="B41" s="2"/>
      <c r="C41" s="4"/>
      <c r="D41" s="23"/>
      <c r="E41" s="7"/>
      <c r="F41" s="8"/>
      <c r="G41" s="24"/>
      <c r="H41" s="4"/>
      <c r="I41" s="4"/>
      <c r="J41" s="5"/>
      <c r="K41" s="2"/>
      <c r="L41" s="2"/>
    </row>
    <row r="42" spans="1:12" ht="13.5">
      <c r="A42" s="2"/>
      <c r="B42" s="2"/>
      <c r="C42" s="2"/>
      <c r="D42" s="2"/>
      <c r="E42" s="2"/>
      <c r="F42" s="2"/>
      <c r="G42" s="2"/>
      <c r="H42" s="4"/>
      <c r="I42" s="4"/>
      <c r="J42" s="2"/>
      <c r="K42" s="2"/>
      <c r="L42" s="2"/>
    </row>
    <row r="43" spans="1:12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3.5">
      <c r="A58" s="2"/>
      <c r="B58" s="2"/>
      <c r="C58" s="2"/>
      <c r="D58" s="2"/>
      <c r="E58" s="2"/>
      <c r="F58" s="7" t="s">
        <v>234</v>
      </c>
      <c r="G58" s="2"/>
      <c r="H58" s="2"/>
      <c r="I58" s="2"/>
      <c r="J58" s="2"/>
      <c r="K58" s="2"/>
      <c r="L58" s="2"/>
    </row>
    <row r="59" spans="1:12" ht="13.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13.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3.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13.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13.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3.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13.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3.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13.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13.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13.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13.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13.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13.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13.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13.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13.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13.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3.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13.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13.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13.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13.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13.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13.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3.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13.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13.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3.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13.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13.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13.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13.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13.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13.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13.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13.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13.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13.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3.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13.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13.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3.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13.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13.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13.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13.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13.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3.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13.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3.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13.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13.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13.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3.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13.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13.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13.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3.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13.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13.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13.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13.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13.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13.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13.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13.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13.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13.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3.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13.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3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13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13.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13.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13.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13.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13.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13.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13.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3.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13.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13.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13.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13.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13.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13.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13.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13.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13.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13.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13.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13.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13.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3.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13.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13.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13.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13.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13.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13.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13.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13.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13.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13.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13.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13.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13.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13.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13.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13.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spans="1:12" ht="13.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</row>
    <row r="178" spans="1:12" ht="13.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</row>
    <row r="179" spans="1:12" ht="13.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</row>
    <row r="180" spans="1:12" ht="13.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</row>
    <row r="181" spans="1:12" ht="13.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</row>
    <row r="182" spans="1:12" ht="13.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3.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</row>
    <row r="184" spans="1:12" ht="13.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</row>
    <row r="185" spans="1:12" ht="13.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</row>
    <row r="186" spans="1:12" ht="13.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3.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</row>
    <row r="188" spans="1:12" ht="13.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</row>
    <row r="189" spans="1:12" ht="13.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</row>
    <row r="190" spans="1:12" ht="13.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</row>
    <row r="191" spans="1:12" ht="13.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13.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</row>
    <row r="193" spans="1:12" ht="13.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</row>
    <row r="194" spans="1:12" ht="13.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</row>
    <row r="195" spans="1:12" ht="13.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</row>
    <row r="196" spans="1:12" ht="13.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</row>
    <row r="197" spans="1:12" ht="13.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</row>
    <row r="198" spans="1:12" ht="13.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</row>
    <row r="199" spans="1:12" ht="13.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</row>
    <row r="200" spans="1:12" ht="13.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</row>
    <row r="201" spans="1:12" ht="13.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</row>
    <row r="202" spans="1:12" ht="13.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</row>
    <row r="203" spans="1:12" ht="13.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</row>
    <row r="204" spans="1:12" ht="13.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</row>
    <row r="205" spans="1:12" ht="13.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3.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</row>
    <row r="207" spans="1:12" ht="13.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</row>
    <row r="208" spans="1:12" ht="13.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</row>
    <row r="209" spans="1:12" ht="13.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</row>
    <row r="210" spans="1:12" ht="13.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</row>
    <row r="211" spans="1:12" ht="13.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</row>
    <row r="212" spans="1:12" ht="13.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</row>
    <row r="213" spans="1:12" ht="13.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</row>
    <row r="214" spans="1:12" ht="13.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</row>
    <row r="215" spans="1:12" ht="13.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</row>
    <row r="216" spans="1:12" ht="13.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</row>
    <row r="217" spans="1:12" ht="13.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</row>
    <row r="218" spans="1:12" ht="13.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</row>
    <row r="219" spans="1:12" ht="13.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</row>
    <row r="220" spans="1:12" ht="13.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</row>
    <row r="221" spans="1:12" ht="13.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</row>
    <row r="222" spans="1:12" ht="13.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</row>
    <row r="223" spans="1:12" ht="13.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</row>
    <row r="224" spans="1:12" ht="13.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</row>
    <row r="225" spans="1:12" ht="13.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</row>
    <row r="226" spans="1:12" ht="13.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</row>
    <row r="227" spans="1:12" ht="13.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</row>
    <row r="228" spans="1:12" ht="13.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3.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</row>
    <row r="230" spans="1:12" ht="13.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</row>
    <row r="231" spans="1:12" ht="13.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</row>
    <row r="232" spans="1:12" ht="13.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</row>
    <row r="233" spans="1:12" ht="13.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</row>
    <row r="234" spans="1:12" ht="13.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</row>
    <row r="235" spans="1:12" ht="13.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</row>
    <row r="236" spans="1:12" ht="13.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</row>
    <row r="237" spans="1:12" ht="13.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</row>
    <row r="238" spans="1:12" ht="13.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</row>
    <row r="239" spans="1:12" ht="13.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</row>
    <row r="240" spans="1:12" ht="13.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3.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</row>
    <row r="242" spans="1:12" ht="13.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</row>
    <row r="243" spans="1:12" ht="13.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</row>
    <row r="244" spans="1:12" ht="13.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</row>
    <row r="245" spans="1:12" ht="13.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</row>
    <row r="246" spans="1:12" ht="13.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</row>
    <row r="247" spans="1:12" ht="13.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</row>
    <row r="248" spans="1:12" ht="13.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</row>
    <row r="249" spans="1:12" ht="13.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12" ht="13.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ht="13.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12" ht="13.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12" ht="13.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12" ht="13.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12" ht="13.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12" ht="13.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</row>
    <row r="257" spans="1:12" ht="13.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</row>
    <row r="258" spans="1:12" ht="13.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</row>
    <row r="259" spans="1:12" ht="13.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</row>
    <row r="260" spans="1:12" ht="13.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</row>
    <row r="261" spans="1:12" ht="13.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</row>
    <row r="262" spans="1:12" ht="13.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</row>
    <row r="263" spans="1:12" ht="13.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</row>
    <row r="264" spans="1:12" ht="13.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</row>
    <row r="265" spans="1:12" ht="13.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</row>
    <row r="266" spans="1:12" ht="13.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</row>
    <row r="267" spans="1:12" ht="13.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</row>
    <row r="268" spans="1:12" ht="13.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3.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</row>
    <row r="270" spans="1:12" ht="13.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</row>
    <row r="271" spans="1:12" ht="13.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</row>
    <row r="272" spans="1:12" ht="13.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</row>
    <row r="273" spans="1:12" ht="13.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13.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</row>
    <row r="275" spans="1:12" ht="13.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</row>
    <row r="276" spans="1:12" ht="13.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</row>
    <row r="277" spans="1:12" ht="13.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</row>
    <row r="278" spans="1:12" ht="13.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</row>
    <row r="279" spans="1:12" ht="13.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</row>
    <row r="280" spans="1:12" ht="13.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13.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</row>
    <row r="282" spans="1:12" ht="13.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</row>
    <row r="283" spans="1:12" ht="13.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</row>
    <row r="284" spans="1:12" ht="13.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</row>
    <row r="285" spans="1:12" ht="13.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</row>
    <row r="286" spans="1:12" ht="13.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</row>
    <row r="287" spans="1:12" ht="13.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</row>
    <row r="288" spans="1:12" ht="13.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</row>
    <row r="289" spans="1:12" ht="13.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</row>
    <row r="290" spans="1:12" ht="13.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</row>
    <row r="291" spans="1:12" ht="13.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</row>
    <row r="292" spans="1:12" ht="13.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</row>
    <row r="293" spans="1:12" ht="13.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</row>
    <row r="294" spans="1:12" ht="13.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</row>
    <row r="295" spans="1:12" ht="13.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</row>
    <row r="296" spans="1:12" ht="13.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</row>
    <row r="297" spans="1:12" ht="13.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3.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</row>
    <row r="299" spans="1:12" ht="13.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ht="13.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</row>
    <row r="301" spans="1:12" ht="13.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</row>
    <row r="302" spans="1:12" ht="13.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</row>
    <row r="303" spans="1:12" ht="13.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</row>
    <row r="304" spans="1:12" ht="13.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</row>
    <row r="305" spans="1:12" ht="13.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</row>
    <row r="306" spans="1:12" ht="13.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</row>
    <row r="307" spans="1:12" ht="13.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3.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</row>
    <row r="309" spans="1:12" ht="13.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3.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</row>
    <row r="311" spans="1:12" ht="13.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</row>
    <row r="312" spans="1:12" ht="13.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</row>
    <row r="313" spans="1:12" ht="13.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</row>
    <row r="314" spans="1:12" ht="13.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</row>
    <row r="315" spans="1:12" ht="13.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</row>
    <row r="316" spans="1:12" ht="13.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</row>
    <row r="317" spans="1:12" ht="13.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</row>
    <row r="318" spans="1:12" ht="13.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</row>
    <row r="319" spans="1:12" ht="13.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spans="1:12" ht="13.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</row>
    <row r="321" spans="1:12" ht="13.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</row>
    <row r="322" spans="1:12" ht="13.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</row>
    <row r="323" spans="1:12" ht="13.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</row>
    <row r="324" spans="1:12" ht="13.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</row>
    <row r="325" spans="1:12" ht="13.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</row>
    <row r="326" spans="1:12" ht="13.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</row>
    <row r="327" spans="1:12" ht="13.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</row>
    <row r="328" spans="1:12" ht="13.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</row>
    <row r="329" spans="1:12" ht="13.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</row>
    <row r="330" spans="1:12" ht="13.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</row>
    <row r="331" spans="1:12" ht="13.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</row>
  </sheetData>
  <printOptions/>
  <pageMargins left="0.537401575" right="0" top="0.984251968503937" bottom="0.419291339" header="0.511811023622047" footer="0.511811023622047"/>
  <pageSetup blackAndWhite="1" horizontalDpi="240" verticalDpi="24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</dc:creator>
  <cp:keywords/>
  <dc:description/>
  <cp:lastModifiedBy>長野県林業コンサルタント協会</cp:lastModifiedBy>
  <cp:lastPrinted>2003-01-19T23:11:23Z</cp:lastPrinted>
  <dcterms:created xsi:type="dcterms:W3CDTF">2002-01-26T06:35:56Z</dcterms:created>
  <dcterms:modified xsi:type="dcterms:W3CDTF">2003-04-10T00:41:20Z</dcterms:modified>
  <cp:category/>
  <cp:version/>
  <cp:contentType/>
  <cp:contentStatus/>
</cp:coreProperties>
</file>