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25" windowHeight="7020" activeTab="1"/>
  </bookViews>
  <sheets>
    <sheet name="設計条件" sheetId="1" r:id="rId1"/>
    <sheet name="1.床版　2.主桁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<sst xmlns="http://schemas.openxmlformats.org/spreadsheetml/2006/main" count="361" uniqueCount="264">
  <si>
    <t>橋　名</t>
  </si>
  <si>
    <t>上置層</t>
  </si>
  <si>
    <t>合計</t>
  </si>
  <si>
    <t>後輪荷重</t>
  </si>
  <si>
    <t>(T荷重最大1輪荷重）</t>
  </si>
  <si>
    <t>　　（a）　死荷重曲げモ－メント</t>
  </si>
  <si>
    <t>　木示４２条により支間Ｌは,純径間に10㎝を加えたものとする。</t>
  </si>
  <si>
    <t>純径間</t>
  </si>
  <si>
    <t>支間    L=</t>
  </si>
  <si>
    <t>　　（b）　活荷重曲げモ－メント</t>
  </si>
  <si>
    <t>(b)-1  分布幅</t>
  </si>
  <si>
    <t>　　橋軸方向</t>
  </si>
  <si>
    <t>＝</t>
  </si>
  <si>
    <t>　　橋軸直角方向</t>
  </si>
  <si>
    <t>(b)-2  曲げモ－メント</t>
  </si>
  <si>
    <t>　　橋軸方向　１m　当りの曲げモ－メントは</t>
  </si>
  <si>
    <t>　　（C）　衝撃による曲げモ－メント</t>
  </si>
  <si>
    <t>　木示７条により衝撃係数　ｉ　＝0.25　とする。</t>
  </si>
  <si>
    <t>　　 ＝</t>
  </si>
  <si>
    <t>X</t>
  </si>
  <si>
    <t>＝</t>
  </si>
  <si>
    <t>　　（d）　合計曲げモ－メント</t>
  </si>
  <si>
    <t>　　（a）　死荷重剪断力</t>
  </si>
  <si>
    <t>　　（a）　活荷重剪断力</t>
  </si>
  <si>
    <t>　　（C）　衝撃による剪断力</t>
  </si>
  <si>
    <t>　　（d）　合計剪断力</t>
  </si>
  <si>
    <t>　　曲げ応力度の検討</t>
  </si>
  <si>
    <t>Ｍ　：　曲げモ－メント</t>
  </si>
  <si>
    <t>　　剪断応力度の検討</t>
  </si>
  <si>
    <t>Ｓ　：　剪断力</t>
  </si>
  <si>
    <t>　主桁にかかる単位長さ当りの荷重は。</t>
  </si>
  <si>
    <t>＝</t>
  </si>
  <si>
    <t>　　　　主桁自重</t>
  </si>
  <si>
    <t>　　　　均し木等</t>
  </si>
  <si>
    <t>支間控除長（台持木突出し長）</t>
  </si>
  <si>
    <t>台持木径</t>
  </si>
  <si>
    <t>主桁径</t>
  </si>
  <si>
    <t>&lt;台持木&gt;</t>
  </si>
  <si>
    <t>&lt;高欄&gt;</t>
  </si>
  <si>
    <t>束柱断面</t>
  </si>
  <si>
    <t>束柱間隔</t>
  </si>
  <si>
    <t>束柱長（先端～固定端まで）</t>
  </si>
  <si>
    <t>　　橋軸方向　b1＝</t>
  </si>
  <si>
    <t>当りの曲げモ－メントは</t>
  </si>
  <si>
    <t>当りの剪断力は</t>
  </si>
  <si>
    <t>　分布幅</t>
  </si>
  <si>
    <t>　桁間隔</t>
  </si>
  <si>
    <t>　　（b）　活荷重剪断力</t>
  </si>
  <si>
    <t>敷成木</t>
  </si>
  <si>
    <t>　　単位長さ当り（１m）の敷成木の本数を算出し計算を行う。</t>
  </si>
  <si>
    <t>敷成木径</t>
  </si>
  <si>
    <t>&lt;敷成木&gt;</t>
  </si>
  <si>
    <t>m  X</t>
  </si>
  <si>
    <t>＝</t>
  </si>
  <si>
    <t>kN/㎡</t>
  </si>
  <si>
    <t>m  X</t>
  </si>
  <si>
    <t>kN/㎡</t>
  </si>
  <si>
    <t>W</t>
  </si>
  <si>
    <t>＝</t>
  </si>
  <si>
    <t>kN/㎡</t>
  </si>
  <si>
    <t>Ｐ</t>
  </si>
  <si>
    <t>-</t>
  </si>
  <si>
    <t>＝</t>
  </si>
  <si>
    <t>m</t>
  </si>
  <si>
    <t>+</t>
  </si>
  <si>
    <t>m</t>
  </si>
  <si>
    <t>Ｍd　＝</t>
  </si>
  <si>
    <t>X</t>
  </si>
  <si>
    <t>kN・m</t>
  </si>
  <si>
    <t>b1　＝</t>
  </si>
  <si>
    <t>X   2  +</t>
  </si>
  <si>
    <t>＝</t>
  </si>
  <si>
    <t>m</t>
  </si>
  <si>
    <t>b2　＝</t>
  </si>
  <si>
    <t>Ｍｌ’＝P/2 X (L/2 - b2/4)</t>
  </si>
  <si>
    <t>　　 ＝</t>
  </si>
  <si>
    <t>/2 X</t>
  </si>
  <si>
    <t>/2   -</t>
  </si>
  <si>
    <t>/4  ) ＝</t>
  </si>
  <si>
    <t>kN・m</t>
  </si>
  <si>
    <t>　　 ＝</t>
  </si>
  <si>
    <t xml:space="preserve"> 　／</t>
  </si>
  <si>
    <t>kN・m</t>
  </si>
  <si>
    <t>　　 ＝</t>
  </si>
  <si>
    <t>X</t>
  </si>
  <si>
    <t>kN・m</t>
  </si>
  <si>
    <t>Ｍ   ＝Ｍｄ　+　Ｍｌ　+　Ｍｉ</t>
  </si>
  <si>
    <t>　　 ＝</t>
  </si>
  <si>
    <t>＋</t>
  </si>
  <si>
    <t>kN・m</t>
  </si>
  <si>
    <t>Ｓｄ  ＝１／２　ＷＬ</t>
  </si>
  <si>
    <t>　　 ＝</t>
  </si>
  <si>
    <t>１／２</t>
  </si>
  <si>
    <t>X</t>
  </si>
  <si>
    <t>＝</t>
  </si>
  <si>
    <t>ｋＮ</t>
  </si>
  <si>
    <t>Ｓｌ’＝P/Ｌ X (L- b2/2)</t>
  </si>
  <si>
    <t xml:space="preserve"> ／</t>
  </si>
  <si>
    <t>/2 ) ＝</t>
  </si>
  <si>
    <t>ｋＮ</t>
  </si>
  <si>
    <t>ｋＮ</t>
  </si>
  <si>
    <t>ｋＮ</t>
  </si>
  <si>
    <t>Ｓ   ＝Ｓｄ　+　Ｓｌ　+　Ｓｉ</t>
  </si>
  <si>
    <t>ｋＮ</t>
  </si>
  <si>
    <t>=</t>
  </si>
  <si>
    <t xml:space="preserve">σa  = </t>
  </si>
  <si>
    <t>∴</t>
  </si>
  <si>
    <t xml:space="preserve">       τw　＝　Ｓ／Ａｗ</t>
  </si>
  <si>
    <t xml:space="preserve">       τw</t>
  </si>
  <si>
    <t>＝</t>
  </si>
  <si>
    <t xml:space="preserve">τa  = </t>
  </si>
  <si>
    <t>∴</t>
  </si>
  <si>
    <t xml:space="preserve"> X   </t>
  </si>
  <si>
    <t>kN/m</t>
  </si>
  <si>
    <t xml:space="preserve"> X   </t>
  </si>
  <si>
    <t>kN/m</t>
  </si>
  <si>
    <t>＝</t>
  </si>
  <si>
    <t>kN/m</t>
  </si>
  <si>
    <t>Ｗ</t>
  </si>
  <si>
    <t>kN/m</t>
  </si>
  <si>
    <t>Ｐ0</t>
  </si>
  <si>
    <t>kN</t>
  </si>
  <si>
    <t>　b1＝</t>
  </si>
  <si>
    <t>＝</t>
  </si>
  <si>
    <t>m</t>
  </si>
  <si>
    <t>　b2＝</t>
  </si>
  <si>
    <t>＝</t>
  </si>
  <si>
    <t>m</t>
  </si>
  <si>
    <t>＝</t>
  </si>
  <si>
    <t>kN</t>
  </si>
  <si>
    <t>Ｚ　：　断面係数</t>
  </si>
  <si>
    <t>（太鼓落とし）</t>
  </si>
  <si>
    <t>Ａw：　１本当り断面積　×　Ｎ</t>
  </si>
  <si>
    <t>　　上置層・敷成木</t>
  </si>
  <si>
    <t>設計荷重</t>
  </si>
  <si>
    <t>橋長</t>
  </si>
  <si>
    <t>幅員</t>
  </si>
  <si>
    <t>上置層厚（土砂・砕石）</t>
  </si>
  <si>
    <t>&lt;主桁&gt;</t>
  </si>
  <si>
    <t>主桁上幅</t>
  </si>
  <si>
    <t>主桁間隔</t>
  </si>
  <si>
    <t>㎝</t>
  </si>
  <si>
    <t>許容曲げ応力度（σa）</t>
  </si>
  <si>
    <t>許容剪断応力度（τa）</t>
  </si>
  <si>
    <t>木道路橋設計示方書案（昭和15年11月内務省）による</t>
  </si>
  <si>
    <t>名称</t>
  </si>
  <si>
    <t>単位</t>
  </si>
  <si>
    <t>数量</t>
  </si>
  <si>
    <t>　活荷重が４５°の角度で主桁に伝達されるものとし，その範囲にある主桁で荷重を分担する。</t>
  </si>
  <si>
    <t>　２　床版（敷成木）の設計</t>
  </si>
  <si>
    <t>　　２．１　荷重</t>
  </si>
  <si>
    <t>　　２．２　敷成木に作用する曲げモ－メント</t>
  </si>
  <si>
    <t>　　２．３　敷成木に作用する剪断力</t>
  </si>
  <si>
    <t>　　２．４　応力度の検討</t>
  </si>
  <si>
    <t>　３　主桁の設計</t>
  </si>
  <si>
    <t>　　３．１　荷重</t>
  </si>
  <si>
    <t>　　３．２　主桁に作用する曲げモ－メント</t>
  </si>
  <si>
    <t>　　３．３　主桁に作用する剪断力</t>
  </si>
  <si>
    <t>　　３．４　応力度の検討</t>
  </si>
  <si>
    <t>林道　王滝線　仮設橋梁</t>
  </si>
  <si>
    <t>許容応力度（長期）</t>
  </si>
  <si>
    <t>名　　　　称</t>
  </si>
  <si>
    <t>針葉樹</t>
  </si>
  <si>
    <t>広葉樹</t>
  </si>
  <si>
    <t>曲げ応力度</t>
  </si>
  <si>
    <t>剪断応力度</t>
  </si>
  <si>
    <t>許容応力度（短期）</t>
  </si>
  <si>
    <t>木道路橋示方書案第15条</t>
  </si>
  <si>
    <t>　曲げモーメントは、３径間連続げたと考え、３モーメントの式を用いて計算する(図3-1)。</t>
  </si>
  <si>
    <t>　　（b）　活荷重（LiveLoad)</t>
  </si>
  <si>
    <t>kN</t>
  </si>
  <si>
    <t>Ｍｌ　＝1.0/ｂ1　×　Ｍｌ’</t>
  </si>
  <si>
    <t>Ｍｉ  ＝Ｍｌ　×　ｉ</t>
  </si>
  <si>
    <t>Ｓｌ　＝1.0/ｂ1　×　Ｓｌ’</t>
  </si>
  <si>
    <t>Ｓｉ ＝Ｓｌ　×　ｉ</t>
  </si>
  <si>
    <t xml:space="preserve">       σw　＝　Ｍ／Ｚ</t>
  </si>
  <si>
    <t xml:space="preserve">       τw　  ＝　Ｓ／Ａｗ</t>
  </si>
  <si>
    <t xml:space="preserve">X   2 </t>
  </si>
  <si>
    <t>∴</t>
  </si>
  <si>
    <t>Ｐ</t>
  </si>
  <si>
    <t>kN</t>
  </si>
  <si>
    <t>Ｓｉ  ＝       Ｓｌ　×　ｉ</t>
  </si>
  <si>
    <t>ｄ</t>
  </si>
  <si>
    <t>＝</t>
  </si>
  <si>
    <t>㎝</t>
  </si>
  <si>
    <t>ｂ</t>
  </si>
  <si>
    <t>Ｚ</t>
  </si>
  <si>
    <t xml:space="preserve">       σw  　　＝　</t>
  </si>
  <si>
    <t xml:space="preserve">σa  = </t>
  </si>
  <si>
    <t>∴</t>
  </si>
  <si>
    <t>ａ</t>
  </si>
  <si>
    <t>Ａw</t>
  </si>
  <si>
    <t xml:space="preserve">       τw</t>
  </si>
  <si>
    <t xml:space="preserve">τa  = </t>
  </si>
  <si>
    <t xml:space="preserve"> 木示７条により衝撃係数I</t>
  </si>
  <si>
    <t>負の曲げモーメント計</t>
  </si>
  <si>
    <t>正の曲げモーメント計</t>
  </si>
  <si>
    <t>　　４．４　王滝線丸太橋(仮設橋)の検証</t>
  </si>
  <si>
    <t>メントの合計した数値における負と正の最大を示す位置を、断面計算として採用する(表3-3)。</t>
  </si>
  <si>
    <r>
      <t>　　　</t>
    </r>
    <r>
      <rPr>
        <b/>
        <sz val="12"/>
        <rFont val="ＭＳ ゴシック"/>
        <family val="3"/>
      </rPr>
      <t>１　設計条件</t>
    </r>
  </si>
  <si>
    <t>　死荷重の曲げモーメント　計算表3-1,図3-1より</t>
  </si>
  <si>
    <t>　活荷重の曲げモーメント　計算表3-2,図3-1より</t>
  </si>
  <si>
    <t>支点２における最大剪断力Sは次のとおりである。</t>
  </si>
  <si>
    <t>t</t>
  </si>
  <si>
    <t>m</t>
  </si>
  <si>
    <t>㎝</t>
  </si>
  <si>
    <t>㎝</t>
  </si>
  <si>
    <t>㎝</t>
  </si>
  <si>
    <t>b</t>
  </si>
  <si>
    <t>Ｘ</t>
  </si>
  <si>
    <t>h</t>
  </si>
  <si>
    <t>m</t>
  </si>
  <si>
    <r>
      <t>Ｎ/㎜</t>
    </r>
    <r>
      <rPr>
        <vertAlign val="superscript"/>
        <sz val="10.5"/>
        <rFont val="ＭＳ 明朝"/>
        <family val="1"/>
      </rPr>
      <t>2</t>
    </r>
  </si>
  <si>
    <t>　　　　　　た1.5m：5.0m：1.5mの３径間連続桁と考えて算出した。　</t>
  </si>
  <si>
    <r>
      <t>（Ｎ/㎜</t>
    </r>
    <r>
      <rPr>
        <vertAlign val="superscript"/>
        <sz val="10.5"/>
        <rFont val="ＭＳ 明朝"/>
        <family val="1"/>
      </rPr>
      <t xml:space="preserve">2 </t>
    </r>
    <r>
      <rPr>
        <sz val="10.5"/>
        <rFont val="ＭＳ 明朝"/>
        <family val="1"/>
      </rPr>
      <t>）</t>
    </r>
  </si>
  <si>
    <r>
      <t>（Ｎ/㎜</t>
    </r>
    <r>
      <rPr>
        <vertAlign val="superscript"/>
        <sz val="10.5"/>
        <rFont val="ＭＳ 明朝"/>
        <family val="1"/>
      </rPr>
      <t xml:space="preserve">2 </t>
    </r>
    <r>
      <rPr>
        <sz val="10.5"/>
        <rFont val="ＭＳ 明朝"/>
        <family val="1"/>
      </rPr>
      <t>）</t>
    </r>
  </si>
  <si>
    <t>１　主桁の設計に使用する曲げモーメントとせん断力は、橋中央橋脚間において方杖を支点とし</t>
  </si>
  <si>
    <t>　　（a）　死荷重（DeadLoad)</t>
  </si>
  <si>
    <r>
      <t>kN/m</t>
    </r>
    <r>
      <rPr>
        <vertAlign val="superscript"/>
        <sz val="10.5"/>
        <rFont val="ＭＳ 明朝"/>
        <family val="1"/>
      </rPr>
      <t>3</t>
    </r>
  </si>
  <si>
    <r>
      <t>kN/m</t>
    </r>
    <r>
      <rPr>
        <vertAlign val="superscript"/>
        <sz val="10.5"/>
        <rFont val="ＭＳ 明朝"/>
        <family val="1"/>
      </rPr>
      <t>3</t>
    </r>
  </si>
  <si>
    <r>
      <t>曲げモ－メント　Ｍd＝１／8・WL</t>
    </r>
    <r>
      <rPr>
        <vertAlign val="superscript"/>
        <sz val="10.5"/>
        <rFont val="ＭＳ 明朝"/>
        <family val="1"/>
      </rPr>
      <t>2</t>
    </r>
  </si>
  <si>
    <r>
      <t xml:space="preserve">2     </t>
    </r>
    <r>
      <rPr>
        <sz val="10.5"/>
        <rFont val="ＭＳ 明朝"/>
        <family val="1"/>
      </rPr>
      <t>＝</t>
    </r>
  </si>
  <si>
    <t>　　　 Ｎ   ＝1.0</t>
  </si>
  <si>
    <t xml:space="preserve">       σw　＝　</t>
  </si>
  <si>
    <r>
      <t>N/㎜</t>
    </r>
    <r>
      <rPr>
        <vertAlign val="superscript"/>
        <sz val="10.5"/>
        <rFont val="ＭＳ 明朝"/>
        <family val="1"/>
      </rPr>
      <t>2</t>
    </r>
  </si>
  <si>
    <r>
      <t>N/㎜</t>
    </r>
    <r>
      <rPr>
        <vertAlign val="superscript"/>
        <sz val="10.5"/>
        <rFont val="ＭＳ 明朝"/>
        <family val="1"/>
      </rPr>
      <t>2</t>
    </r>
  </si>
  <si>
    <t>　　（a）　死荷重（DeadLoad)</t>
  </si>
  <si>
    <r>
      <t>2</t>
    </r>
    <r>
      <rPr>
        <sz val="10.5"/>
        <rFont val="ＭＳ 明朝"/>
        <family val="1"/>
      </rPr>
      <t xml:space="preserve">  X  π</t>
    </r>
  </si>
  <si>
    <r>
      <t>Ｍｉ</t>
    </r>
    <r>
      <rPr>
        <vertAlign val="subscript"/>
        <sz val="10.5"/>
        <rFont val="ＭＳ 明朝"/>
        <family val="1"/>
      </rPr>
      <t xml:space="preserve">－ </t>
    </r>
    <r>
      <rPr>
        <sz val="10.5"/>
        <rFont val="ＭＳ 明朝"/>
        <family val="1"/>
      </rPr>
      <t>＝Ｍｌ</t>
    </r>
    <r>
      <rPr>
        <vertAlign val="subscript"/>
        <sz val="10.5"/>
        <rFont val="ＭＳ 明朝"/>
        <family val="1"/>
      </rPr>
      <t>－</t>
    </r>
    <r>
      <rPr>
        <sz val="10.5"/>
        <rFont val="ＭＳ 明朝"/>
        <family val="1"/>
      </rPr>
      <t>　×　ｉ＝</t>
    </r>
  </si>
  <si>
    <r>
      <t>Ｍｉ</t>
    </r>
    <r>
      <rPr>
        <vertAlign val="subscript"/>
        <sz val="10.5"/>
        <rFont val="ＭＳ 明朝"/>
        <family val="1"/>
      </rPr>
      <t xml:space="preserve">＋ </t>
    </r>
    <r>
      <rPr>
        <sz val="10.5"/>
        <rFont val="ＭＳ 明朝"/>
        <family val="1"/>
      </rPr>
      <t>＝Ｍｌ</t>
    </r>
    <r>
      <rPr>
        <vertAlign val="subscript"/>
        <sz val="10.5"/>
        <rFont val="ＭＳ 明朝"/>
        <family val="1"/>
      </rPr>
      <t>＋</t>
    </r>
    <r>
      <rPr>
        <sz val="10.5"/>
        <rFont val="ＭＳ 明朝"/>
        <family val="1"/>
      </rPr>
      <t>　×　ｉ＝</t>
    </r>
  </si>
  <si>
    <t>kN・m</t>
  </si>
  <si>
    <t>　 　 ＝</t>
  </si>
  <si>
    <t>Ｓ   ＝       Ｓｄ　+　Ｓｌ　+　Ｓｉ</t>
  </si>
  <si>
    <t>＋</t>
  </si>
  <si>
    <r>
      <t>N/㎜</t>
    </r>
    <r>
      <rPr>
        <vertAlign val="superscript"/>
        <sz val="10.5"/>
        <rFont val="ＭＳ 明朝"/>
        <family val="1"/>
      </rPr>
      <t>2</t>
    </r>
  </si>
  <si>
    <r>
      <t>㎜</t>
    </r>
    <r>
      <rPr>
        <vertAlign val="superscript"/>
        <sz val="10.5"/>
        <rFont val="ＭＳ 明朝"/>
        <family val="1"/>
      </rPr>
      <t>2</t>
    </r>
  </si>
  <si>
    <t>各スパンを10等分し、死荷重・活荷重曲げモーメントを算出する(表3-1,表3-2)。死荷重曲げモー</t>
  </si>
  <si>
    <r>
      <t>　負の最大曲げモーメント　Ｍ</t>
    </r>
    <r>
      <rPr>
        <vertAlign val="subscript"/>
        <sz val="10.5"/>
        <rFont val="ＭＳ 明朝"/>
        <family val="1"/>
      </rPr>
      <t>ｄ－</t>
    </r>
    <r>
      <rPr>
        <sz val="10.5"/>
        <rFont val="ＭＳ 明朝"/>
        <family val="1"/>
      </rPr>
      <t>＝</t>
    </r>
  </si>
  <si>
    <r>
      <t>　正の最大曲げモーメント　Ｍ</t>
    </r>
    <r>
      <rPr>
        <vertAlign val="subscript"/>
        <sz val="10.5"/>
        <rFont val="ＭＳ 明朝"/>
        <family val="1"/>
      </rPr>
      <t>ｄ＋</t>
    </r>
    <r>
      <rPr>
        <sz val="10.5"/>
        <rFont val="ＭＳ 明朝"/>
        <family val="1"/>
      </rPr>
      <t xml:space="preserve">＝ </t>
    </r>
  </si>
  <si>
    <t>kN・ｍ(m10の位置)</t>
  </si>
  <si>
    <t>kN・ｍ(m15の位置)</t>
  </si>
  <si>
    <r>
      <t>　負の最大曲げモーメント　Ｍl</t>
    </r>
    <r>
      <rPr>
        <vertAlign val="subscript"/>
        <sz val="10.5"/>
        <rFont val="ＭＳ 明朝"/>
        <family val="1"/>
      </rPr>
      <t>－</t>
    </r>
    <r>
      <rPr>
        <sz val="10.5"/>
        <rFont val="ＭＳ 明朝"/>
        <family val="1"/>
      </rPr>
      <t>＝-</t>
    </r>
  </si>
  <si>
    <r>
      <t>　正の最大曲げモーメント　Ｍl</t>
    </r>
    <r>
      <rPr>
        <vertAlign val="subscript"/>
        <sz val="10.5"/>
        <rFont val="ＭＳ 明朝"/>
        <family val="1"/>
      </rPr>
      <t>＋</t>
    </r>
    <r>
      <rPr>
        <sz val="10.5"/>
        <rFont val="ＭＳ 明朝"/>
        <family val="1"/>
      </rPr>
      <t xml:space="preserve">＝ </t>
    </r>
  </si>
  <si>
    <t>＋</t>
  </si>
  <si>
    <t>＝</t>
  </si>
  <si>
    <t>支間長（中央支間長）</t>
  </si>
  <si>
    <t>Ｓｌ　＝      P 　　/ ４× （５－３／Ｌ）</t>
  </si>
  <si>
    <t>死荷重最大剪断力は支点２（m10)において発生する(表3-4,図3-2)。</t>
  </si>
  <si>
    <t>支点２(m10)において活荷重を移動させた剪断力の数値を表3-5と図 3-2へ示しておく。</t>
  </si>
  <si>
    <t>kN</t>
  </si>
  <si>
    <r>
      <t>Ｓd</t>
    </r>
    <r>
      <rPr>
        <vertAlign val="subscript"/>
        <sz val="10.5"/>
        <rFont val="ＭＳ 明朝"/>
        <family val="1"/>
      </rPr>
      <t>＋</t>
    </r>
  </si>
  <si>
    <r>
      <t>Ｓd</t>
    </r>
    <r>
      <rPr>
        <vertAlign val="subscript"/>
        <sz val="10.5"/>
        <rFont val="ＭＳ 明朝"/>
        <family val="1"/>
      </rPr>
      <t>－</t>
    </r>
  </si>
  <si>
    <r>
      <t>Ｍ</t>
    </r>
    <r>
      <rPr>
        <vertAlign val="subscript"/>
        <sz val="10.5"/>
        <rFont val="ＭＳ 明朝"/>
        <family val="1"/>
      </rPr>
      <t>－</t>
    </r>
    <r>
      <rPr>
        <sz val="10.5"/>
        <rFont val="ＭＳ 明朝"/>
        <family val="1"/>
      </rPr>
      <t>＝Ｍｄ</t>
    </r>
    <r>
      <rPr>
        <vertAlign val="subscript"/>
        <sz val="10.5"/>
        <rFont val="ＭＳ 明朝"/>
        <family val="1"/>
      </rPr>
      <t>－</t>
    </r>
    <r>
      <rPr>
        <sz val="10.5"/>
        <rFont val="ＭＳ 明朝"/>
        <family val="1"/>
      </rPr>
      <t>+ Ｍｌ</t>
    </r>
    <r>
      <rPr>
        <vertAlign val="subscript"/>
        <sz val="10.5"/>
        <rFont val="ＭＳ 明朝"/>
        <family val="1"/>
      </rPr>
      <t>－</t>
    </r>
    <r>
      <rPr>
        <sz val="10.5"/>
        <rFont val="ＭＳ 明朝"/>
        <family val="1"/>
      </rPr>
      <t>+ Ｍｉ</t>
    </r>
    <r>
      <rPr>
        <vertAlign val="subscript"/>
        <sz val="10.5"/>
        <rFont val="ＭＳ 明朝"/>
        <family val="1"/>
      </rPr>
      <t>－</t>
    </r>
    <r>
      <rPr>
        <sz val="10.5"/>
        <rFont val="ＭＳ 明朝"/>
        <family val="1"/>
      </rPr>
      <t>＝</t>
    </r>
  </si>
  <si>
    <r>
      <t>Ｍ</t>
    </r>
    <r>
      <rPr>
        <vertAlign val="subscript"/>
        <sz val="10.5"/>
        <rFont val="ＭＳ 明朝"/>
        <family val="1"/>
      </rPr>
      <t>＋</t>
    </r>
    <r>
      <rPr>
        <sz val="10.5"/>
        <rFont val="ＭＳ 明朝"/>
        <family val="1"/>
      </rPr>
      <t>＝Ｍｄ</t>
    </r>
    <r>
      <rPr>
        <vertAlign val="subscript"/>
        <sz val="10.5"/>
        <rFont val="ＭＳ 明朝"/>
        <family val="1"/>
      </rPr>
      <t>＋</t>
    </r>
    <r>
      <rPr>
        <sz val="10.5"/>
        <rFont val="ＭＳ 明朝"/>
        <family val="1"/>
      </rPr>
      <t>+ Ｍｌ</t>
    </r>
    <r>
      <rPr>
        <vertAlign val="subscript"/>
        <sz val="10.5"/>
        <rFont val="ＭＳ 明朝"/>
        <family val="1"/>
      </rPr>
      <t>＋</t>
    </r>
    <r>
      <rPr>
        <sz val="10.5"/>
        <rFont val="ＭＳ 明朝"/>
        <family val="1"/>
      </rPr>
      <t>+ Ｍｉ</t>
    </r>
    <r>
      <rPr>
        <vertAlign val="subscript"/>
        <sz val="10.5"/>
        <rFont val="ＭＳ 明朝"/>
        <family val="1"/>
      </rPr>
      <t>＋</t>
    </r>
    <r>
      <rPr>
        <sz val="10.5"/>
        <rFont val="ＭＳ 明朝"/>
        <family val="1"/>
      </rPr>
      <t>＝</t>
    </r>
  </si>
  <si>
    <t>∴３径間連続桁における曲げモーメントとせん断力は、Excelを使用したプログラムの作成の結果、</t>
  </si>
  <si>
    <t>　死荷重（ω）と活荷重（Ｐ）の入力により計算できる（ファイル名：連続桁曲げ･せん断計算.xls)。</t>
  </si>
  <si>
    <t>TYPE-B(主桁の設計において荷重分配効果を考慮する)</t>
  </si>
  <si>
    <r>
      <t>㎜</t>
    </r>
    <r>
      <rPr>
        <vertAlign val="superscript"/>
        <sz val="10.5"/>
        <rFont val="ＭＳ 明朝"/>
        <family val="1"/>
      </rPr>
      <t>3</t>
    </r>
  </si>
  <si>
    <t>支点２(m10)の前後において,極値±30.205kNを示す。</t>
  </si>
  <si>
    <r>
      <t>N･㎜</t>
    </r>
  </si>
  <si>
    <r>
      <t>Ｚ　：　断面係数（πd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/32）×Ｎ</t>
    </r>
  </si>
  <si>
    <t xml:space="preserve">Ｓ　：　剪断力      N </t>
  </si>
  <si>
    <r>
      <t>Ａw ：　断面積     mm</t>
    </r>
    <r>
      <rPr>
        <vertAlign val="superscript"/>
        <sz val="10.5"/>
        <rFont val="ＭＳ 明朝"/>
        <family val="1"/>
      </rPr>
      <t>2</t>
    </r>
  </si>
  <si>
    <r>
      <t xml:space="preserve">       (a2･b+(π･d</t>
    </r>
    <r>
      <rPr>
        <vertAlign val="superscript"/>
        <sz val="10.5"/>
        <rFont val="ＭＳ 明朝"/>
        <family val="1"/>
      </rPr>
      <t>2</t>
    </r>
    <r>
      <rPr>
        <sz val="10.5"/>
        <rFont val="ＭＳ 明朝"/>
        <family val="1"/>
      </rPr>
      <t>/12-d</t>
    </r>
    <r>
      <rPr>
        <vertAlign val="superscript"/>
        <sz val="10.5"/>
        <rFont val="ＭＳ 明朝"/>
        <family val="1"/>
      </rPr>
      <t>2</t>
    </r>
    <r>
      <rPr>
        <sz val="10.5"/>
        <rFont val="ＭＳ 明朝"/>
        <family val="1"/>
      </rPr>
      <t>√3/6)×2)</t>
    </r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</si>
</sst>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\ #,##0;&quot;\&quot;\ \-#,##0"/>
    <numFmt numFmtId="177" formatCode="&quot;\&quot;\ #,##0;[Red]&quot;\&quot;\ \-#,##0"/>
    <numFmt numFmtId="178" formatCode="&quot;\&quot;\ #,##0.00;&quot;\&quot;\ \-#,##0.00"/>
    <numFmt numFmtId="179" formatCode="&quot;\&quot;\ #,##0.00;[Red]&quot;\&quot;\ \-#,##0.00"/>
    <numFmt numFmtId="180" formatCode="_ &quot;\&quot;\ * #,##0_ ;_ &quot;\&quot;\ * \-#,##0_ ;_ &quot;\&quot;\ * &quot;-&quot;_ ;_ @_ "/>
    <numFmt numFmtId="181" formatCode="_ &quot;\&quot;\ * #,##0.00_ ;_ &quot;\&quot;\ * \-#,##0.00_ ;_ &quot;\&quot;\ * &quot;-&quot;??_ ;_ @_ "/>
    <numFmt numFmtId="182" formatCode="&quot;\&quot;&quot;\&quot;\!\ #,##0;[Red]&quot;\&quot;&quot;\&quot;\!\ &quot;\&quot;\!\-#,##0"/>
    <numFmt numFmtId="183" formatCode="&quot;\&quot;&quot;\&quot;\!\ #,##0.00;[Red]&quot;\&quot;&quot;\&quot;\!\ &quot;\&quot;\!\-#,##0.00"/>
    <numFmt numFmtId="184" formatCode="0.0"/>
    <numFmt numFmtId="185" formatCode="#,##0.0;[Red]&quot;\&quot;\!\-#,##0.0"/>
    <numFmt numFmtId="186" formatCode="0.00_);[Red]&quot;\&quot;\!\(0.00&quot;\&quot;\!\)"/>
    <numFmt numFmtId="187" formatCode="#\!\ ?/8"/>
    <numFmt numFmtId="188" formatCode="#0.00&quot;  &quot;&quot;X&quot;"/>
    <numFmt numFmtId="189" formatCode="&quot;+ &quot;#0.00"/>
    <numFmt numFmtId="190" formatCode="&quot;+ &quot;#0.00\ "/>
    <numFmt numFmtId="191" formatCode="#0&quot;  =&quot;"/>
    <numFmt numFmtId="192" formatCode="##0&quot;  =&quot;"/>
    <numFmt numFmtId="193" formatCode="&quot;(  &quot;#0.00"/>
    <numFmt numFmtId="194" formatCode="&quot;( &quot;#0.00&quot; -&quot;"/>
    <numFmt numFmtId="195" formatCode="0.00_);[Red]\(0.00\)"/>
    <numFmt numFmtId="196" formatCode="0.00000"/>
    <numFmt numFmtId="197" formatCode="#,##0.00;[Red]&quot;\&quot;\!\-#,##0.00"/>
    <numFmt numFmtId="198" formatCode="0.000"/>
    <numFmt numFmtId="199" formatCode="_ * #,##0.00_ ;_ * \-#,##0.00_ ;_ * &quot; &quot;??_ ;_ @_ "/>
    <numFmt numFmtId="200" formatCode="_ * #,##0.000_ ;_ * \-#,##0.000_ ;_ * &quot; &quot;??_ ;_ @_ "/>
    <numFmt numFmtId="201" formatCode="_ * #,##0.0_ ;_ * \-#,##0.0_ ;_ * &quot; &quot;??_ ;_ @_ "/>
    <numFmt numFmtId="202" formatCode="0.0000"/>
    <numFmt numFmtId="203" formatCode="0.000_);[Red]\(0.000\)"/>
    <numFmt numFmtId="204" formatCode="0.00_ "/>
    <numFmt numFmtId="205" formatCode="#,##0.000;[Red]&quot;\&quot;\!\-#,##0.000"/>
    <numFmt numFmtId="206" formatCode="0.000_);[Red]&quot;\&quot;\!\(0.000&quot;\&quot;\!\)"/>
    <numFmt numFmtId="207" formatCode="&quot;+ &quot;#0.000"/>
    <numFmt numFmtId="208" formatCode="&quot;+ &quot;#0.000\ "/>
    <numFmt numFmtId="209" formatCode="&quot;(  &quot;#0.000"/>
    <numFmt numFmtId="210" formatCode="#0.000&quot;  &quot;&quot;X&quot;"/>
    <numFmt numFmtId="211" formatCode="&quot;( &quot;#0.000&quot; -&quot;"/>
  </numFmts>
  <fonts count="2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.5"/>
      <name val="ＭＳ 明朝"/>
      <family val="1"/>
    </font>
    <font>
      <vertAlign val="superscript"/>
      <sz val="10.5"/>
      <name val="ＭＳ 明朝"/>
      <family val="1"/>
    </font>
    <font>
      <b/>
      <sz val="10.5"/>
      <name val="ＭＳ 明朝"/>
      <family val="1"/>
    </font>
    <font>
      <b/>
      <sz val="10.5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.5"/>
      <name val="ＭＳ 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vertAlign val="subscript"/>
      <sz val="10.5"/>
      <name val="ＭＳ 明朝"/>
      <family val="1"/>
    </font>
    <font>
      <sz val="10.5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84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2" fontId="6" fillId="0" borderId="0" xfId="0" applyNumberFormat="1" applyFont="1" applyFill="1" applyAlignment="1">
      <alignment/>
    </xf>
    <xf numFmtId="185" fontId="6" fillId="0" borderId="0" xfId="18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 quotePrefix="1">
      <alignment/>
    </xf>
    <xf numFmtId="186" fontId="6" fillId="0" borderId="0" xfId="0" applyNumberFormat="1" applyFont="1" applyFill="1" applyAlignment="1">
      <alignment horizontal="center"/>
    </xf>
    <xf numFmtId="12" fontId="6" fillId="0" borderId="0" xfId="0" applyNumberFormat="1" applyFont="1" applyFill="1" applyAlignment="1">
      <alignment/>
    </xf>
    <xf numFmtId="187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2" fontId="6" fillId="0" borderId="0" xfId="0" applyNumberFormat="1" applyFont="1" applyFill="1" applyAlignment="1">
      <alignment horizontal="center"/>
    </xf>
    <xf numFmtId="19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quotePrefix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center"/>
    </xf>
    <xf numFmtId="0" fontId="8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186" fontId="6" fillId="0" borderId="0" xfId="0" applyNumberFormat="1" applyFont="1" applyFill="1" applyAlignment="1">
      <alignment/>
    </xf>
    <xf numFmtId="0" fontId="6" fillId="0" borderId="0" xfId="0" applyNumberFormat="1" applyFont="1" applyFill="1" applyAlignment="1" quotePrefix="1">
      <alignment horizontal="center"/>
    </xf>
    <xf numFmtId="18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191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/>
    </xf>
    <xf numFmtId="192" fontId="6" fillId="0" borderId="0" xfId="0" applyNumberFormat="1" applyFont="1" applyFill="1" applyAlignment="1">
      <alignment horizontal="left"/>
    </xf>
    <xf numFmtId="185" fontId="6" fillId="0" borderId="0" xfId="18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196" fontId="6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195" fontId="6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 quotePrefix="1">
      <alignment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/>
    </xf>
    <xf numFmtId="204" fontId="20" fillId="0" borderId="0" xfId="0" applyNumberFormat="1" applyFont="1" applyFill="1" applyAlignment="1" applyProtection="1">
      <alignment horizontal="center"/>
      <protection locked="0"/>
    </xf>
    <xf numFmtId="211" fontId="6" fillId="0" borderId="0" xfId="0" applyNumberFormat="1" applyFont="1" applyFill="1" applyAlignment="1">
      <alignment/>
    </xf>
    <xf numFmtId="205" fontId="6" fillId="0" borderId="0" xfId="18" applyNumberFormat="1" applyFont="1" applyFill="1" applyAlignment="1">
      <alignment horizontal="left"/>
    </xf>
    <xf numFmtId="203" fontId="6" fillId="0" borderId="0" xfId="0" applyNumberFormat="1" applyFont="1" applyFill="1" applyAlignment="1">
      <alignment horizontal="left"/>
    </xf>
    <xf numFmtId="198" fontId="10" fillId="0" borderId="0" xfId="0" applyNumberFormat="1" applyFont="1" applyFill="1" applyAlignment="1">
      <alignment/>
    </xf>
    <xf numFmtId="198" fontId="6" fillId="0" borderId="0" xfId="0" applyNumberFormat="1" applyFont="1" applyFill="1" applyAlignment="1" quotePrefix="1">
      <alignment/>
    </xf>
    <xf numFmtId="198" fontId="10" fillId="0" borderId="0" xfId="0" applyNumberFormat="1" applyFont="1" applyAlignment="1">
      <alignment/>
    </xf>
    <xf numFmtId="198" fontId="6" fillId="0" borderId="0" xfId="0" applyNumberFormat="1" applyFont="1" applyFill="1" applyAlignment="1">
      <alignment/>
    </xf>
    <xf numFmtId="205" fontId="6" fillId="0" borderId="0" xfId="18" applyNumberFormat="1" applyFont="1" applyFill="1" applyAlignment="1">
      <alignment/>
    </xf>
    <xf numFmtId="198" fontId="6" fillId="0" borderId="0" xfId="0" applyNumberFormat="1" applyFont="1" applyFill="1" applyAlignment="1">
      <alignment horizontal="right"/>
    </xf>
    <xf numFmtId="206" fontId="6" fillId="0" borderId="0" xfId="0" applyNumberFormat="1" applyFont="1" applyFill="1" applyAlignment="1">
      <alignment horizontal="center"/>
    </xf>
    <xf numFmtId="206" fontId="6" fillId="0" borderId="0" xfId="0" applyNumberFormat="1" applyFont="1" applyFill="1" applyAlignment="1">
      <alignment horizontal="right"/>
    </xf>
    <xf numFmtId="198" fontId="6" fillId="0" borderId="0" xfId="0" applyNumberFormat="1" applyFont="1" applyFill="1" applyAlignment="1">
      <alignment horizontal="left"/>
    </xf>
    <xf numFmtId="198" fontId="6" fillId="0" borderId="0" xfId="0" applyNumberFormat="1" applyFont="1" applyFill="1" applyAlignment="1">
      <alignment horizontal="center"/>
    </xf>
    <xf numFmtId="207" fontId="6" fillId="0" borderId="0" xfId="0" applyNumberFormat="1" applyFont="1" applyFill="1" applyAlignment="1">
      <alignment horizontal="center"/>
    </xf>
    <xf numFmtId="208" fontId="6" fillId="0" borderId="0" xfId="0" applyNumberFormat="1" applyFont="1" applyFill="1" applyAlignment="1">
      <alignment horizontal="center"/>
    </xf>
    <xf numFmtId="209" fontId="6" fillId="0" borderId="0" xfId="0" applyNumberFormat="1" applyFont="1" applyFill="1" applyAlignment="1">
      <alignment/>
    </xf>
    <xf numFmtId="206" fontId="6" fillId="0" borderId="0" xfId="0" applyNumberFormat="1" applyFont="1" applyFill="1" applyAlignment="1">
      <alignment/>
    </xf>
    <xf numFmtId="210" fontId="6" fillId="0" borderId="0" xfId="0" applyNumberFormat="1" applyFont="1" applyFill="1" applyAlignment="1">
      <alignment horizontal="left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Alignment="1" quotePrefix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33</xdr:row>
      <xdr:rowOff>142875</xdr:rowOff>
    </xdr:from>
    <xdr:to>
      <xdr:col>11</xdr:col>
      <xdr:colOff>619125</xdr:colOff>
      <xdr:row>44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743700"/>
          <a:ext cx="42957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609600</xdr:colOff>
      <xdr:row>13</xdr:row>
      <xdr:rowOff>171450</xdr:rowOff>
    </xdr:from>
    <xdr:to>
      <xdr:col>17</xdr:col>
      <xdr:colOff>323850</xdr:colOff>
      <xdr:row>17</xdr:row>
      <xdr:rowOff>38100</xdr:rowOff>
    </xdr:to>
    <xdr:pic>
      <xdr:nvPicPr>
        <xdr:cNvPr id="2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281940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25</xdr:row>
      <xdr:rowOff>9525</xdr:rowOff>
    </xdr:from>
    <xdr:to>
      <xdr:col>10</xdr:col>
      <xdr:colOff>609600</xdr:colOff>
      <xdr:row>40</xdr:row>
      <xdr:rowOff>161925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724400"/>
          <a:ext cx="53435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192</xdr:row>
      <xdr:rowOff>38100</xdr:rowOff>
    </xdr:from>
    <xdr:to>
      <xdr:col>10</xdr:col>
      <xdr:colOff>295275</xdr:colOff>
      <xdr:row>203</xdr:row>
      <xdr:rowOff>133350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33889950"/>
          <a:ext cx="31242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3:T43"/>
  <sheetViews>
    <sheetView view="pageBreakPreview" zoomScaleNormal="75" zoomScaleSheetLayoutView="100" workbookViewId="0" topLeftCell="A27">
      <selection activeCell="S20" sqref="S20"/>
    </sheetView>
  </sheetViews>
  <sheetFormatPr defaultColWidth="9.00390625" defaultRowHeight="13.5"/>
  <cols>
    <col min="1" max="1" width="12.625" style="10" customWidth="1"/>
    <col min="2" max="6" width="6.25390625" style="10" customWidth="1"/>
    <col min="7" max="7" width="6.00390625" style="10" customWidth="1"/>
    <col min="8" max="8" width="1.625" style="10" customWidth="1"/>
    <col min="9" max="9" width="9.625" style="10" customWidth="1"/>
    <col min="10" max="10" width="2.625" style="10" customWidth="1"/>
    <col min="11" max="11" width="1.625" style="10" customWidth="1"/>
    <col min="12" max="12" width="21.75390625" style="10" customWidth="1"/>
    <col min="13" max="19" width="10.875" style="1" customWidth="1"/>
    <col min="20" max="20" width="10.375" style="1" customWidth="1"/>
    <col min="21" max="16384" width="9.00390625" style="10" customWidth="1"/>
  </cols>
  <sheetData>
    <row r="2" ht="5.25" customHeight="1"/>
    <row r="3" spans="1:2" ht="22.5" customHeight="1">
      <c r="A3" s="11" t="s">
        <v>197</v>
      </c>
      <c r="B3" s="9"/>
    </row>
    <row r="4" spans="1:20" ht="19.5" customHeight="1">
      <c r="A4" s="11"/>
      <c r="B4" s="11"/>
      <c r="C4" s="11"/>
      <c r="D4" s="33" t="s">
        <v>256</v>
      </c>
      <c r="E4" s="34"/>
      <c r="F4" s="34"/>
      <c r="G4" s="34"/>
      <c r="H4" s="34"/>
      <c r="I4" s="34"/>
      <c r="J4" s="34"/>
      <c r="K4" s="34"/>
      <c r="L4" s="34"/>
      <c r="M4" s="15"/>
      <c r="N4" s="15"/>
      <c r="O4" s="15"/>
      <c r="P4" s="15"/>
      <c r="Q4" s="15"/>
      <c r="R4" s="15"/>
      <c r="S4" s="15"/>
      <c r="T4" s="15"/>
    </row>
    <row r="5" spans="2:20" ht="19.5" customHeight="1">
      <c r="B5" s="12"/>
      <c r="D5" s="22" t="s">
        <v>0</v>
      </c>
      <c r="E5" s="111" t="s">
        <v>159</v>
      </c>
      <c r="F5" s="112"/>
      <c r="G5" s="112"/>
      <c r="H5" s="112"/>
      <c r="I5" s="112"/>
      <c r="J5" s="112"/>
      <c r="K5" s="112"/>
      <c r="L5" s="113"/>
      <c r="M5" s="15"/>
      <c r="N5" s="15"/>
      <c r="O5" s="15"/>
      <c r="P5" s="15"/>
      <c r="Q5" s="15"/>
      <c r="R5" s="15"/>
      <c r="S5" s="15"/>
      <c r="T5" s="15"/>
    </row>
    <row r="6" spans="1:5" ht="16.5" customHeight="1">
      <c r="A6" s="13" t="s">
        <v>199</v>
      </c>
      <c r="B6" s="13"/>
      <c r="C6" s="14"/>
      <c r="D6" s="114"/>
      <c r="E6" s="114"/>
    </row>
    <row r="7" spans="1:12" ht="16.5" customHeight="1">
      <c r="A7" s="35"/>
      <c r="B7" s="34"/>
      <c r="C7" s="34"/>
      <c r="D7" s="36" t="s">
        <v>144</v>
      </c>
      <c r="E7" s="37"/>
      <c r="F7" s="34"/>
      <c r="G7" s="34"/>
      <c r="H7" s="34"/>
      <c r="I7" s="34"/>
      <c r="J7" s="34"/>
      <c r="K7" s="34"/>
      <c r="L7" s="34"/>
    </row>
    <row r="8" spans="2:12" ht="15.75" customHeight="1">
      <c r="B8" s="102" t="s">
        <v>145</v>
      </c>
      <c r="C8" s="109"/>
      <c r="D8" s="109"/>
      <c r="E8" s="109"/>
      <c r="F8" s="110"/>
      <c r="G8" s="22" t="s">
        <v>146</v>
      </c>
      <c r="H8" s="102" t="s">
        <v>147</v>
      </c>
      <c r="I8" s="103"/>
      <c r="J8" s="103"/>
      <c r="K8" s="103"/>
      <c r="L8" s="104"/>
    </row>
    <row r="9" spans="2:12" ht="15.75" customHeight="1">
      <c r="B9" s="102" t="s">
        <v>134</v>
      </c>
      <c r="C9" s="103"/>
      <c r="D9" s="103"/>
      <c r="E9" s="103"/>
      <c r="F9" s="104"/>
      <c r="G9" s="22" t="s">
        <v>203</v>
      </c>
      <c r="H9" s="105">
        <v>14</v>
      </c>
      <c r="I9" s="106"/>
      <c r="J9" s="106"/>
      <c r="K9" s="106"/>
      <c r="L9" s="107"/>
    </row>
    <row r="10" spans="2:12" ht="15.75" customHeight="1">
      <c r="B10" s="102" t="s">
        <v>135</v>
      </c>
      <c r="C10" s="103"/>
      <c r="D10" s="103"/>
      <c r="E10" s="103"/>
      <c r="F10" s="104"/>
      <c r="G10" s="22" t="s">
        <v>72</v>
      </c>
      <c r="H10" s="105">
        <v>25</v>
      </c>
      <c r="I10" s="106"/>
      <c r="J10" s="106"/>
      <c r="K10" s="106"/>
      <c r="L10" s="107"/>
    </row>
    <row r="11" spans="2:12" ht="15.75" customHeight="1">
      <c r="B11" s="102" t="s">
        <v>245</v>
      </c>
      <c r="C11" s="103"/>
      <c r="D11" s="103"/>
      <c r="E11" s="103"/>
      <c r="F11" s="104"/>
      <c r="G11" s="22" t="s">
        <v>65</v>
      </c>
      <c r="H11" s="105">
        <v>5</v>
      </c>
      <c r="I11" s="106"/>
      <c r="J11" s="106"/>
      <c r="K11" s="106"/>
      <c r="L11" s="107"/>
    </row>
    <row r="12" spans="2:12" ht="15.75" customHeight="1">
      <c r="B12" s="102" t="s">
        <v>136</v>
      </c>
      <c r="C12" s="103"/>
      <c r="D12" s="103"/>
      <c r="E12" s="103"/>
      <c r="F12" s="104"/>
      <c r="G12" s="22" t="s">
        <v>204</v>
      </c>
      <c r="H12" s="105">
        <v>3</v>
      </c>
      <c r="I12" s="106"/>
      <c r="J12" s="106"/>
      <c r="K12" s="106"/>
      <c r="L12" s="107"/>
    </row>
    <row r="13" spans="2:14" ht="15.75" customHeight="1">
      <c r="B13" s="30" t="s">
        <v>51</v>
      </c>
      <c r="C13" s="26"/>
      <c r="D13" s="26"/>
      <c r="E13" s="26"/>
      <c r="F13" s="27"/>
      <c r="G13" s="22"/>
      <c r="H13" s="25"/>
      <c r="I13" s="28"/>
      <c r="J13" s="28"/>
      <c r="K13" s="28"/>
      <c r="L13" s="29"/>
      <c r="N13" s="16"/>
    </row>
    <row r="14" spans="2:14" ht="15.75" customHeight="1">
      <c r="B14" s="102" t="s">
        <v>137</v>
      </c>
      <c r="C14" s="103"/>
      <c r="D14" s="103"/>
      <c r="E14" s="103"/>
      <c r="F14" s="104"/>
      <c r="G14" s="22" t="s">
        <v>205</v>
      </c>
      <c r="H14" s="105">
        <v>20</v>
      </c>
      <c r="I14" s="106"/>
      <c r="J14" s="106"/>
      <c r="K14" s="106"/>
      <c r="L14" s="107"/>
      <c r="N14" s="17"/>
    </row>
    <row r="15" spans="2:14" ht="15.75" customHeight="1">
      <c r="B15" s="102" t="s">
        <v>50</v>
      </c>
      <c r="C15" s="103"/>
      <c r="D15" s="103"/>
      <c r="E15" s="103"/>
      <c r="F15" s="104"/>
      <c r="G15" s="22" t="s">
        <v>206</v>
      </c>
      <c r="H15" s="105">
        <v>10</v>
      </c>
      <c r="I15" s="106"/>
      <c r="J15" s="106"/>
      <c r="K15" s="106"/>
      <c r="L15" s="107"/>
      <c r="M15" s="38"/>
      <c r="N15" s="16"/>
    </row>
    <row r="16" spans="2:12" ht="15.75" customHeight="1">
      <c r="B16" s="30" t="s">
        <v>138</v>
      </c>
      <c r="C16" s="26"/>
      <c r="D16" s="26"/>
      <c r="E16" s="26"/>
      <c r="F16" s="27"/>
      <c r="G16" s="22"/>
      <c r="H16" s="25"/>
      <c r="I16" s="28"/>
      <c r="J16" s="28"/>
      <c r="K16" s="28"/>
      <c r="L16" s="29"/>
    </row>
    <row r="17" spans="2:12" ht="15.75" customHeight="1">
      <c r="B17" s="102" t="s">
        <v>36</v>
      </c>
      <c r="C17" s="103"/>
      <c r="D17" s="103"/>
      <c r="E17" s="103"/>
      <c r="F17" s="104"/>
      <c r="G17" s="22" t="s">
        <v>206</v>
      </c>
      <c r="H17" s="105">
        <v>35</v>
      </c>
      <c r="I17" s="106"/>
      <c r="J17" s="106"/>
      <c r="K17" s="106"/>
      <c r="L17" s="107"/>
    </row>
    <row r="18" spans="2:15" ht="15.75" customHeight="1">
      <c r="B18" s="102" t="s">
        <v>139</v>
      </c>
      <c r="C18" s="103"/>
      <c r="D18" s="103"/>
      <c r="E18" s="103"/>
      <c r="F18" s="104"/>
      <c r="G18" s="22" t="s">
        <v>206</v>
      </c>
      <c r="H18" s="105">
        <f>ROUND(H17*0.5,1)</f>
        <v>17.5</v>
      </c>
      <c r="I18" s="106"/>
      <c r="J18" s="106"/>
      <c r="K18" s="106"/>
      <c r="L18" s="107"/>
      <c r="O18" s="18"/>
    </row>
    <row r="19" spans="2:16" ht="15.75" customHeight="1">
      <c r="B19" s="102" t="s">
        <v>140</v>
      </c>
      <c r="C19" s="103"/>
      <c r="D19" s="103"/>
      <c r="E19" s="103"/>
      <c r="F19" s="104"/>
      <c r="G19" s="22" t="s">
        <v>206</v>
      </c>
      <c r="H19" s="105">
        <v>45</v>
      </c>
      <c r="I19" s="106"/>
      <c r="J19" s="106"/>
      <c r="K19" s="106"/>
      <c r="L19" s="107"/>
      <c r="P19" s="19"/>
    </row>
    <row r="20" spans="2:20" ht="15.75" customHeight="1">
      <c r="B20" s="30" t="s">
        <v>37</v>
      </c>
      <c r="C20" s="23"/>
      <c r="D20" s="23"/>
      <c r="E20" s="23"/>
      <c r="F20" s="24"/>
      <c r="G20" s="22"/>
      <c r="H20" s="105"/>
      <c r="I20" s="106"/>
      <c r="J20" s="106"/>
      <c r="K20" s="106"/>
      <c r="L20" s="107"/>
      <c r="M20" s="38"/>
      <c r="N20" s="39"/>
      <c r="O20" s="38"/>
      <c r="P20" s="38"/>
      <c r="Q20" s="38"/>
      <c r="R20" s="40"/>
      <c r="S20" s="41"/>
      <c r="T20" s="38"/>
    </row>
    <row r="21" spans="2:20" ht="15.75" customHeight="1">
      <c r="B21" s="102" t="s">
        <v>34</v>
      </c>
      <c r="C21" s="103"/>
      <c r="D21" s="103"/>
      <c r="E21" s="103"/>
      <c r="F21" s="104"/>
      <c r="G21" s="22" t="s">
        <v>65</v>
      </c>
      <c r="H21" s="105">
        <v>0</v>
      </c>
      <c r="I21" s="106"/>
      <c r="J21" s="106"/>
      <c r="K21" s="106"/>
      <c r="L21" s="107"/>
      <c r="M21" s="38"/>
      <c r="N21" s="39"/>
      <c r="O21" s="38"/>
      <c r="P21" s="38"/>
      <c r="Q21" s="38"/>
      <c r="R21" s="38"/>
      <c r="S21" s="38"/>
      <c r="T21" s="38"/>
    </row>
    <row r="22" spans="2:20" ht="15.75" customHeight="1">
      <c r="B22" s="102" t="s">
        <v>35</v>
      </c>
      <c r="C22" s="103"/>
      <c r="D22" s="103"/>
      <c r="E22" s="103"/>
      <c r="F22" s="104"/>
      <c r="G22" s="22" t="s">
        <v>207</v>
      </c>
      <c r="H22" s="105">
        <v>30</v>
      </c>
      <c r="I22" s="106"/>
      <c r="J22" s="106"/>
      <c r="K22" s="106"/>
      <c r="L22" s="107"/>
      <c r="M22" s="41" t="s">
        <v>216</v>
      </c>
      <c r="N22" s="38"/>
      <c r="O22" s="38"/>
      <c r="Q22" s="38"/>
      <c r="R22" s="38"/>
      <c r="S22" s="38"/>
      <c r="T22" s="38"/>
    </row>
    <row r="23" spans="2:20" ht="15.75" customHeight="1">
      <c r="B23" s="30" t="s">
        <v>38</v>
      </c>
      <c r="C23" s="23"/>
      <c r="D23" s="23"/>
      <c r="E23" s="23"/>
      <c r="F23" s="24"/>
      <c r="G23" s="22"/>
      <c r="H23" s="105"/>
      <c r="I23" s="106"/>
      <c r="J23" s="106"/>
      <c r="K23" s="106"/>
      <c r="L23" s="107"/>
      <c r="M23" s="41" t="s">
        <v>213</v>
      </c>
      <c r="N23" s="39"/>
      <c r="P23" s="38"/>
      <c r="Q23" s="38"/>
      <c r="R23" s="38"/>
      <c r="S23" s="38"/>
      <c r="T23" s="38"/>
    </row>
    <row r="24" spans="2:20" ht="15.75" customHeight="1">
      <c r="B24" s="102" t="s">
        <v>39</v>
      </c>
      <c r="C24" s="103"/>
      <c r="D24" s="103"/>
      <c r="E24" s="103"/>
      <c r="F24" s="104"/>
      <c r="G24" s="22" t="s">
        <v>141</v>
      </c>
      <c r="H24" s="25" t="s">
        <v>208</v>
      </c>
      <c r="I24" s="28"/>
      <c r="J24" s="28" t="s">
        <v>209</v>
      </c>
      <c r="K24" s="28" t="s">
        <v>210</v>
      </c>
      <c r="L24" s="29"/>
      <c r="M24" s="38"/>
      <c r="N24" s="38"/>
      <c r="O24" s="38"/>
      <c r="P24" s="38"/>
      <c r="Q24" s="38"/>
      <c r="R24" s="38"/>
      <c r="S24" s="38"/>
      <c r="T24" s="38"/>
    </row>
    <row r="25" spans="2:20" ht="15.75" customHeight="1">
      <c r="B25" s="102" t="s">
        <v>40</v>
      </c>
      <c r="C25" s="103"/>
      <c r="D25" s="103"/>
      <c r="E25" s="103"/>
      <c r="F25" s="104"/>
      <c r="G25" s="22" t="s">
        <v>211</v>
      </c>
      <c r="H25" s="105"/>
      <c r="I25" s="106"/>
      <c r="J25" s="106"/>
      <c r="K25" s="106"/>
      <c r="L25" s="107"/>
      <c r="M25" s="38"/>
      <c r="N25" s="38" t="s">
        <v>160</v>
      </c>
      <c r="O25" s="38"/>
      <c r="P25" s="38" t="s">
        <v>167</v>
      </c>
      <c r="Q25" s="38"/>
      <c r="R25" s="38"/>
      <c r="S25" s="38"/>
      <c r="T25" s="38"/>
    </row>
    <row r="26" spans="2:20" ht="15.75" customHeight="1">
      <c r="B26" s="102" t="s">
        <v>41</v>
      </c>
      <c r="C26" s="103"/>
      <c r="D26" s="103"/>
      <c r="E26" s="103"/>
      <c r="F26" s="104"/>
      <c r="G26" s="22" t="s">
        <v>211</v>
      </c>
      <c r="H26" s="105"/>
      <c r="I26" s="106"/>
      <c r="J26" s="106"/>
      <c r="K26" s="106"/>
      <c r="L26" s="107"/>
      <c r="M26" s="38"/>
      <c r="N26" s="115" t="s">
        <v>161</v>
      </c>
      <c r="O26" s="116"/>
      <c r="P26" s="44" t="s">
        <v>162</v>
      </c>
      <c r="Q26" s="44" t="s">
        <v>163</v>
      </c>
      <c r="R26" s="38"/>
      <c r="S26" s="38"/>
      <c r="T26" s="38"/>
    </row>
    <row r="27" spans="2:20" ht="15.75" customHeight="1">
      <c r="B27" s="108"/>
      <c r="C27" s="109"/>
      <c r="D27" s="109"/>
      <c r="E27" s="109"/>
      <c r="F27" s="110"/>
      <c r="G27" s="31"/>
      <c r="H27" s="105"/>
      <c r="I27" s="106"/>
      <c r="J27" s="106"/>
      <c r="K27" s="106"/>
      <c r="L27" s="107"/>
      <c r="M27" s="38"/>
      <c r="N27" s="43" t="s">
        <v>164</v>
      </c>
      <c r="O27" s="45" t="s">
        <v>214</v>
      </c>
      <c r="P27" s="44">
        <v>8.8</v>
      </c>
      <c r="Q27" s="44">
        <v>11.8</v>
      </c>
      <c r="R27" s="38"/>
      <c r="S27" s="38"/>
      <c r="T27" s="38"/>
    </row>
    <row r="28" spans="2:20" ht="15.75" customHeight="1">
      <c r="B28" s="102" t="s">
        <v>142</v>
      </c>
      <c r="C28" s="103"/>
      <c r="D28" s="103"/>
      <c r="E28" s="103"/>
      <c r="F28" s="104"/>
      <c r="G28" s="22" t="s">
        <v>212</v>
      </c>
      <c r="H28" s="105">
        <v>17.6</v>
      </c>
      <c r="I28" s="106"/>
      <c r="J28" s="106"/>
      <c r="K28" s="106"/>
      <c r="L28" s="107"/>
      <c r="M28" s="38"/>
      <c r="N28" s="43" t="s">
        <v>165</v>
      </c>
      <c r="O28" s="45" t="s">
        <v>215</v>
      </c>
      <c r="P28" s="44">
        <v>0.8</v>
      </c>
      <c r="Q28" s="44">
        <v>1.2</v>
      </c>
      <c r="R28" s="38"/>
      <c r="S28" s="38"/>
      <c r="T28" s="38"/>
    </row>
    <row r="29" spans="2:20" ht="15.75" customHeight="1">
      <c r="B29" s="102" t="s">
        <v>143</v>
      </c>
      <c r="C29" s="103"/>
      <c r="D29" s="103"/>
      <c r="E29" s="103"/>
      <c r="F29" s="104"/>
      <c r="G29" s="22" t="s">
        <v>212</v>
      </c>
      <c r="H29" s="105">
        <v>1.6</v>
      </c>
      <c r="I29" s="106"/>
      <c r="J29" s="106"/>
      <c r="K29" s="106"/>
      <c r="L29" s="107"/>
      <c r="M29" s="38"/>
      <c r="N29" s="38" t="s">
        <v>166</v>
      </c>
      <c r="O29" s="38"/>
      <c r="P29" s="38"/>
      <c r="Q29" s="38"/>
      <c r="R29" s="38"/>
      <c r="S29" s="38"/>
      <c r="T29" s="38"/>
    </row>
    <row r="30" spans="2:20" ht="15.75" customHeight="1">
      <c r="B30" s="108"/>
      <c r="C30" s="109"/>
      <c r="D30" s="109"/>
      <c r="E30" s="109"/>
      <c r="F30" s="110"/>
      <c r="G30" s="31"/>
      <c r="H30" s="105"/>
      <c r="I30" s="106"/>
      <c r="J30" s="106"/>
      <c r="K30" s="106"/>
      <c r="L30" s="107"/>
      <c r="M30" s="38"/>
      <c r="N30" s="115" t="s">
        <v>161</v>
      </c>
      <c r="O30" s="116"/>
      <c r="P30" s="44" t="s">
        <v>162</v>
      </c>
      <c r="Q30" s="44" t="s">
        <v>163</v>
      </c>
      <c r="R30" s="38"/>
      <c r="S30" s="38"/>
      <c r="T30" s="38"/>
    </row>
    <row r="31" spans="2:20" ht="1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8"/>
      <c r="N31" s="43" t="s">
        <v>164</v>
      </c>
      <c r="O31" s="45" t="s">
        <v>214</v>
      </c>
      <c r="P31" s="44">
        <v>17.6</v>
      </c>
      <c r="Q31" s="44">
        <v>23.6</v>
      </c>
      <c r="R31" s="38"/>
      <c r="S31" s="38"/>
      <c r="T31" s="38"/>
    </row>
    <row r="32" spans="13:20" ht="15">
      <c r="M32" s="38"/>
      <c r="N32" s="43" t="s">
        <v>165</v>
      </c>
      <c r="O32" s="45" t="s">
        <v>215</v>
      </c>
      <c r="P32" s="44">
        <v>1.6</v>
      </c>
      <c r="Q32" s="44">
        <v>2.4</v>
      </c>
      <c r="R32" s="38"/>
      <c r="S32" s="38"/>
      <c r="T32" s="38"/>
    </row>
    <row r="33" spans="13:20" ht="13.5">
      <c r="M33" s="38"/>
      <c r="N33" s="38"/>
      <c r="O33" s="38"/>
      <c r="P33" s="38"/>
      <c r="Q33" s="38"/>
      <c r="R33" s="38"/>
      <c r="S33" s="38"/>
      <c r="T33" s="38"/>
    </row>
    <row r="34" spans="13:20" ht="14.25">
      <c r="M34" s="38"/>
      <c r="N34" s="38"/>
      <c r="O34" s="38"/>
      <c r="P34" s="38"/>
      <c r="Q34" s="38"/>
      <c r="R34" s="38"/>
      <c r="S34" s="38"/>
      <c r="T34" s="38"/>
    </row>
    <row r="35" spans="13:20" ht="14.25">
      <c r="M35" s="38"/>
      <c r="N35" s="38"/>
      <c r="O35" s="38"/>
      <c r="P35" s="38"/>
      <c r="Q35" s="38"/>
      <c r="R35" s="38"/>
      <c r="S35" s="38"/>
      <c r="T35" s="38"/>
    </row>
    <row r="36" spans="13:20" ht="14.25">
      <c r="M36" s="38"/>
      <c r="N36" s="38"/>
      <c r="O36" s="38"/>
      <c r="P36" s="38"/>
      <c r="Q36" s="38"/>
      <c r="R36" s="38"/>
      <c r="S36" s="38"/>
      <c r="T36" s="38"/>
    </row>
    <row r="37" spans="13:20" ht="14.25">
      <c r="M37" s="38"/>
      <c r="N37" s="38"/>
      <c r="O37" s="38"/>
      <c r="P37" s="38"/>
      <c r="Q37" s="38"/>
      <c r="R37" s="38"/>
      <c r="S37" s="38"/>
      <c r="T37" s="38"/>
    </row>
    <row r="38" spans="13:20" ht="14.25">
      <c r="M38" s="38"/>
      <c r="N38" s="38"/>
      <c r="O38" s="38"/>
      <c r="P38" s="38"/>
      <c r="Q38" s="38"/>
      <c r="R38" s="38"/>
      <c r="S38" s="38"/>
      <c r="T38" s="38"/>
    </row>
    <row r="39" spans="13:20" ht="14.25">
      <c r="M39" s="38"/>
      <c r="N39" s="38"/>
      <c r="O39" s="38"/>
      <c r="P39" s="38"/>
      <c r="Q39" s="38"/>
      <c r="R39" s="38"/>
      <c r="S39" s="38"/>
      <c r="T39" s="38"/>
    </row>
    <row r="40" spans="13:20" ht="14.25">
      <c r="M40" s="38"/>
      <c r="N40" s="38"/>
      <c r="O40" s="38"/>
      <c r="P40" s="38"/>
      <c r="Q40" s="38"/>
      <c r="R40" s="38"/>
      <c r="S40" s="38"/>
      <c r="T40" s="38"/>
    </row>
    <row r="41" spans="13:20" ht="14.25">
      <c r="M41" s="38"/>
      <c r="N41" s="38"/>
      <c r="O41" s="38"/>
      <c r="P41" s="38"/>
      <c r="Q41" s="38"/>
      <c r="R41" s="38"/>
      <c r="S41" s="38"/>
      <c r="T41" s="38"/>
    </row>
    <row r="42" spans="13:20" ht="14.25">
      <c r="M42" s="38"/>
      <c r="N42" s="38"/>
      <c r="O42" s="38"/>
      <c r="P42" s="38"/>
      <c r="Q42" s="38"/>
      <c r="R42" s="38"/>
      <c r="S42" s="38"/>
      <c r="T42" s="38"/>
    </row>
    <row r="43" spans="13:20" ht="14.25">
      <c r="M43" s="38"/>
      <c r="N43" s="38"/>
      <c r="O43" s="38"/>
      <c r="P43" s="38"/>
      <c r="Q43" s="38"/>
      <c r="R43" s="38"/>
      <c r="S43" s="38"/>
      <c r="T43" s="38"/>
    </row>
    <row r="44" ht="14.25"/>
  </sheetData>
  <mergeCells count="43">
    <mergeCell ref="N26:O26"/>
    <mergeCell ref="N30:O30"/>
    <mergeCell ref="H20:L20"/>
    <mergeCell ref="H23:L23"/>
    <mergeCell ref="B24:F24"/>
    <mergeCell ref="B25:F25"/>
    <mergeCell ref="H25:L25"/>
    <mergeCell ref="B21:F21"/>
    <mergeCell ref="H21:L21"/>
    <mergeCell ref="B22:F22"/>
    <mergeCell ref="H22:L22"/>
    <mergeCell ref="E5:L5"/>
    <mergeCell ref="B10:F10"/>
    <mergeCell ref="B11:F11"/>
    <mergeCell ref="B12:F12"/>
    <mergeCell ref="D6:E6"/>
    <mergeCell ref="H8:L8"/>
    <mergeCell ref="B8:F8"/>
    <mergeCell ref="B9:F9"/>
    <mergeCell ref="H9:L9"/>
    <mergeCell ref="B19:F19"/>
    <mergeCell ref="B14:F14"/>
    <mergeCell ref="B15:F15"/>
    <mergeCell ref="B17:F17"/>
    <mergeCell ref="B18:F18"/>
    <mergeCell ref="H15:L15"/>
    <mergeCell ref="H18:L18"/>
    <mergeCell ref="H19:L19"/>
    <mergeCell ref="H10:L10"/>
    <mergeCell ref="H11:L11"/>
    <mergeCell ref="H12:L12"/>
    <mergeCell ref="H14:L14"/>
    <mergeCell ref="H17:L17"/>
    <mergeCell ref="B26:F26"/>
    <mergeCell ref="H26:L26"/>
    <mergeCell ref="H27:L27"/>
    <mergeCell ref="H30:L30"/>
    <mergeCell ref="B30:F30"/>
    <mergeCell ref="H28:L28"/>
    <mergeCell ref="H29:L29"/>
    <mergeCell ref="B27:F27"/>
    <mergeCell ref="B28:F28"/>
    <mergeCell ref="B29:F29"/>
  </mergeCells>
  <printOptions/>
  <pageMargins left="0.75" right="0" top="1" bottom="1" header="0.512" footer="0.512"/>
  <pageSetup blackAndWhite="1" horizontalDpi="240" verticalDpi="240" orientation="portrait" paperSize="9" scale="98" r:id="rId4"/>
  <colBreaks count="1" manualBreakCount="1">
    <brk id="12" max="65535" man="1"/>
  </colBreaks>
  <drawing r:id="rId3"/>
  <legacyDrawing r:id="rId2"/>
  <oleObjects>
    <oleObject progId="zwRAPID10Pro" shapeId="307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M235"/>
  <sheetViews>
    <sheetView tabSelected="1" view="pageBreakPreview" zoomScaleSheetLayoutView="100" workbookViewId="0" topLeftCell="A1">
      <selection activeCell="B224" sqref="B224"/>
    </sheetView>
  </sheetViews>
  <sheetFormatPr defaultColWidth="9.00390625" defaultRowHeight="13.5"/>
  <cols>
    <col min="1" max="2" width="9.00390625" style="3" customWidth="1"/>
    <col min="3" max="3" width="9.75390625" style="3" customWidth="1"/>
    <col min="4" max="4" width="7.375" style="3" customWidth="1"/>
    <col min="5" max="6" width="8.50390625" style="3" customWidth="1"/>
    <col min="7" max="7" width="9.50390625" style="3" customWidth="1"/>
    <col min="8" max="8" width="7.625" style="3" customWidth="1"/>
    <col min="9" max="9" width="8.50390625" style="3" customWidth="1"/>
    <col min="10" max="10" width="6.75390625" style="3" customWidth="1"/>
    <col min="11" max="11" width="9.375" style="3" customWidth="1"/>
    <col min="12" max="16384" width="9.00390625" style="3" customWidth="1"/>
  </cols>
  <sheetData>
    <row r="2" spans="1:4" ht="17.25">
      <c r="A2" s="2" t="s">
        <v>149</v>
      </c>
      <c r="B2" s="4"/>
      <c r="C2" s="4"/>
      <c r="D2" s="4"/>
    </row>
    <row r="3" spans="1:4" ht="13.5">
      <c r="A3" s="4"/>
      <c r="B3" s="4"/>
      <c r="C3" s="4"/>
      <c r="D3" s="4"/>
    </row>
    <row r="4" spans="1:4" ht="14.25">
      <c r="A4" s="5" t="s">
        <v>150</v>
      </c>
      <c r="B4" s="4"/>
      <c r="C4" s="4"/>
      <c r="D4" s="4"/>
    </row>
    <row r="5" spans="1:12" ht="24.75" customHeight="1">
      <c r="A5" s="38" t="s">
        <v>217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3.5">
      <c r="A6" s="38"/>
      <c r="B6" s="38"/>
      <c r="C6" s="38"/>
      <c r="D6" s="38"/>
      <c r="E6" s="42"/>
      <c r="F6" s="38"/>
      <c r="G6" s="38"/>
      <c r="H6" s="38"/>
      <c r="I6" s="38"/>
      <c r="J6" s="38"/>
      <c r="K6" s="38"/>
      <c r="L6" s="38"/>
    </row>
    <row r="7" spans="1:12" ht="15">
      <c r="A7" s="38"/>
      <c r="B7" s="38"/>
      <c r="C7" s="38" t="s">
        <v>1</v>
      </c>
      <c r="D7" s="90">
        <f>'設計条件'!$H$14*0.01</f>
        <v>0.2</v>
      </c>
      <c r="E7" s="42" t="s">
        <v>52</v>
      </c>
      <c r="F7" s="91">
        <v>17.652</v>
      </c>
      <c r="G7" s="38" t="s">
        <v>218</v>
      </c>
      <c r="H7" s="42" t="s">
        <v>53</v>
      </c>
      <c r="I7" s="90">
        <f>ROUND(D7*F7,3)</f>
        <v>3.53</v>
      </c>
      <c r="J7" s="38" t="s">
        <v>54</v>
      </c>
      <c r="K7" s="38"/>
      <c r="L7" s="38"/>
    </row>
    <row r="8" spans="1:12" ht="15">
      <c r="A8" s="38"/>
      <c r="B8" s="38"/>
      <c r="C8" s="38" t="s">
        <v>48</v>
      </c>
      <c r="D8" s="90">
        <f>'設計条件'!$H$15*0.01</f>
        <v>0.1</v>
      </c>
      <c r="E8" s="42" t="s">
        <v>55</v>
      </c>
      <c r="F8" s="91">
        <v>6.374</v>
      </c>
      <c r="G8" s="38" t="s">
        <v>219</v>
      </c>
      <c r="H8" s="42" t="s">
        <v>20</v>
      </c>
      <c r="I8" s="90">
        <f>ROUND(D8*F8,3)</f>
        <v>0.637</v>
      </c>
      <c r="J8" s="38" t="s">
        <v>56</v>
      </c>
      <c r="K8" s="38"/>
      <c r="L8" s="38"/>
    </row>
    <row r="9" spans="1:12" ht="13.5">
      <c r="A9" s="38"/>
      <c r="B9" s="38"/>
      <c r="C9" s="38"/>
      <c r="D9" s="38"/>
      <c r="E9" s="38"/>
      <c r="F9" s="38"/>
      <c r="G9" s="38"/>
      <c r="H9" s="42"/>
      <c r="I9" s="38"/>
      <c r="J9" s="38"/>
      <c r="K9" s="38"/>
      <c r="L9" s="38"/>
    </row>
    <row r="10" spans="1:12" ht="13.5">
      <c r="A10" s="38"/>
      <c r="B10" s="38"/>
      <c r="C10" s="38"/>
      <c r="D10" s="38"/>
      <c r="E10" s="38"/>
      <c r="F10" s="38" t="s">
        <v>2</v>
      </c>
      <c r="G10" s="42" t="s">
        <v>57</v>
      </c>
      <c r="H10" s="42" t="s">
        <v>58</v>
      </c>
      <c r="I10" s="90">
        <f>SUM(I7:I9)</f>
        <v>4.167</v>
      </c>
      <c r="J10" s="38" t="s">
        <v>59</v>
      </c>
      <c r="K10" s="38"/>
      <c r="L10" s="38"/>
    </row>
    <row r="11" spans="1:12" ht="13.5">
      <c r="A11" s="38"/>
      <c r="B11" s="38"/>
      <c r="C11" s="38"/>
      <c r="D11" s="38"/>
      <c r="E11" s="38"/>
      <c r="F11" s="38"/>
      <c r="G11" s="38"/>
      <c r="H11" s="42"/>
      <c r="I11" s="48"/>
      <c r="J11" s="38"/>
      <c r="K11" s="38"/>
      <c r="L11" s="38"/>
    </row>
    <row r="12" spans="1:12" ht="13.5">
      <c r="A12" s="38" t="s">
        <v>169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3.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13.5">
      <c r="A14" s="38"/>
      <c r="B14" s="38"/>
      <c r="C14" s="38" t="s">
        <v>3</v>
      </c>
      <c r="D14" s="49" t="s">
        <v>60</v>
      </c>
      <c r="E14" s="42" t="s">
        <v>12</v>
      </c>
      <c r="F14" s="90">
        <f>ROUND('設計条件'!$H$9*4*0.980665,3)</f>
        <v>54.917</v>
      </c>
      <c r="G14" s="50" t="s">
        <v>170</v>
      </c>
      <c r="H14" s="38" t="s">
        <v>4</v>
      </c>
      <c r="I14" s="38"/>
      <c r="J14" s="38"/>
      <c r="K14" s="38"/>
      <c r="L14" s="38"/>
    </row>
    <row r="15" spans="1:12" ht="13.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5" ht="14.25">
      <c r="A16" s="5" t="s">
        <v>151</v>
      </c>
      <c r="B16" s="5"/>
      <c r="C16" s="5"/>
      <c r="D16" s="5"/>
      <c r="E16" s="5"/>
    </row>
    <row r="17" spans="1:12" ht="24.75" customHeight="1">
      <c r="A17" s="38" t="s">
        <v>5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13.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13.5">
      <c r="A19" s="38"/>
      <c r="B19" s="38" t="s">
        <v>6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2" ht="13.5">
      <c r="A20" s="38"/>
      <c r="B20" s="38"/>
      <c r="C20" s="38" t="s">
        <v>7</v>
      </c>
      <c r="D20" s="92">
        <f>'設計条件'!H19*0.01</f>
        <v>0.45</v>
      </c>
      <c r="E20" s="42" t="s">
        <v>61</v>
      </c>
      <c r="F20" s="90">
        <f>'設計条件'!H18*0.01</f>
        <v>0.17500000000000002</v>
      </c>
      <c r="G20" s="38"/>
      <c r="H20" s="42" t="s">
        <v>62</v>
      </c>
      <c r="I20" s="93">
        <f>D20-F20</f>
        <v>0.275</v>
      </c>
      <c r="J20" s="38" t="s">
        <v>63</v>
      </c>
      <c r="K20" s="38"/>
      <c r="L20" s="38"/>
    </row>
    <row r="21" spans="1:12" ht="13.5">
      <c r="A21" s="38"/>
      <c r="B21" s="38"/>
      <c r="C21" s="38" t="s">
        <v>8</v>
      </c>
      <c r="D21" s="94">
        <f>I20</f>
        <v>0.275</v>
      </c>
      <c r="E21" s="42" t="s">
        <v>64</v>
      </c>
      <c r="F21" s="90">
        <v>0.1</v>
      </c>
      <c r="G21" s="38"/>
      <c r="H21" s="42" t="s">
        <v>20</v>
      </c>
      <c r="I21" s="93">
        <f>D21+F21</f>
        <v>0.375</v>
      </c>
      <c r="J21" s="38" t="s">
        <v>65</v>
      </c>
      <c r="K21" s="38"/>
      <c r="L21" s="38"/>
    </row>
    <row r="22" spans="1:12" ht="15">
      <c r="A22" s="38"/>
      <c r="B22" s="38"/>
      <c r="C22" s="52" t="s">
        <v>220</v>
      </c>
      <c r="D22" s="38"/>
      <c r="E22" s="38"/>
      <c r="F22" s="38"/>
      <c r="G22" s="38"/>
      <c r="H22" s="38"/>
      <c r="I22" s="38"/>
      <c r="J22" s="38"/>
      <c r="K22" s="38"/>
      <c r="L22" s="38"/>
    </row>
    <row r="23" spans="1:12" ht="15">
      <c r="A23" s="38"/>
      <c r="B23" s="38"/>
      <c r="C23" s="38"/>
      <c r="D23" s="38" t="s">
        <v>66</v>
      </c>
      <c r="E23" s="53">
        <v>0.125</v>
      </c>
      <c r="F23" s="42" t="s">
        <v>67</v>
      </c>
      <c r="G23" s="95">
        <f>I10</f>
        <v>4.167</v>
      </c>
      <c r="H23" s="42" t="s">
        <v>67</v>
      </c>
      <c r="I23" s="93">
        <f>I21</f>
        <v>0.375</v>
      </c>
      <c r="J23" s="55" t="s">
        <v>221</v>
      </c>
      <c r="K23" s="90">
        <f>ROUND(1/8*I10*(I21)^2,3)</f>
        <v>0.073</v>
      </c>
      <c r="L23" s="38" t="s">
        <v>68</v>
      </c>
    </row>
    <row r="24" spans="1:12" ht="13.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ht="12.75" customHeight="1">
      <c r="A25" s="56" t="s">
        <v>9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2" ht="14.25">
      <c r="A26" s="38"/>
      <c r="B26" s="38"/>
      <c r="C26" s="38"/>
      <c r="D26" s="42"/>
      <c r="E26" s="38"/>
      <c r="F26" s="38"/>
      <c r="G26" s="38"/>
      <c r="H26" s="38"/>
      <c r="I26" s="38"/>
      <c r="J26" s="38"/>
      <c r="K26" s="38"/>
      <c r="L26" s="38"/>
    </row>
    <row r="27" spans="1:12" ht="14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ht="14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ht="14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ht="14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ht="14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14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ht="14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ht="14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ht="14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ht="14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ht="14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14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ht="14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ht="14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ht="14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ht="13.5">
      <c r="A42" s="38"/>
      <c r="B42" s="38" t="s">
        <v>10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ht="13.5">
      <c r="A43" s="38"/>
      <c r="B43" s="38" t="s">
        <v>11</v>
      </c>
      <c r="C43" s="38"/>
      <c r="D43" s="38" t="s">
        <v>69</v>
      </c>
      <c r="E43" s="96">
        <v>0.2</v>
      </c>
      <c r="F43" s="97">
        <f>'設計条件'!$H$14*0.01</f>
        <v>0.2</v>
      </c>
      <c r="G43" s="54" t="s">
        <v>70</v>
      </c>
      <c r="H43" s="90">
        <f>'設計条件'!$H$15*0.01</f>
        <v>0.1</v>
      </c>
      <c r="I43" s="42" t="s">
        <v>71</v>
      </c>
      <c r="J43" s="96">
        <f>0.2+D7*2+D8</f>
        <v>0.7000000000000001</v>
      </c>
      <c r="K43" s="38" t="s">
        <v>72</v>
      </c>
      <c r="L43" s="38"/>
    </row>
    <row r="44" spans="1:12" ht="13.5">
      <c r="A44" s="38"/>
      <c r="B44" s="38" t="s">
        <v>13</v>
      </c>
      <c r="C44" s="38"/>
      <c r="D44" s="38" t="s">
        <v>73</v>
      </c>
      <c r="E44" s="96">
        <v>0.24</v>
      </c>
      <c r="F44" s="98">
        <f>'設計条件'!$H$14*0.01</f>
        <v>0.2</v>
      </c>
      <c r="G44" s="54" t="s">
        <v>70</v>
      </c>
      <c r="H44" s="90">
        <f>'設計条件'!$H$15*0.01</f>
        <v>0.1</v>
      </c>
      <c r="I44" s="42" t="s">
        <v>71</v>
      </c>
      <c r="J44" s="96">
        <f>0.24+D7*2+D8</f>
        <v>0.74</v>
      </c>
      <c r="K44" s="38" t="s">
        <v>72</v>
      </c>
      <c r="L44" s="38"/>
    </row>
    <row r="45" spans="1:12" ht="13.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ht="13.5">
      <c r="A46" s="38"/>
      <c r="B46" s="38" t="s">
        <v>14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ht="13.5">
      <c r="A47" s="38"/>
      <c r="B47" s="38" t="s">
        <v>42</v>
      </c>
      <c r="C47" s="38"/>
      <c r="D47" s="38" t="str">
        <f>$J$43&amp;"m"</f>
        <v>0.7m</v>
      </c>
      <c r="E47" s="38" t="s">
        <v>43</v>
      </c>
      <c r="F47" s="38"/>
      <c r="G47" s="38"/>
      <c r="H47" s="38"/>
      <c r="I47" s="38"/>
      <c r="J47" s="38"/>
      <c r="K47" s="38"/>
      <c r="L47" s="38"/>
    </row>
    <row r="48" spans="1:12" ht="13.5">
      <c r="A48" s="38"/>
      <c r="B48" s="38"/>
      <c r="C48" s="38" t="s">
        <v>74</v>
      </c>
      <c r="D48" s="38"/>
      <c r="E48" s="38"/>
      <c r="F48" s="38"/>
      <c r="G48" s="38"/>
      <c r="H48" s="38"/>
      <c r="I48" s="38"/>
      <c r="J48" s="38"/>
      <c r="K48" s="38"/>
      <c r="L48" s="38"/>
    </row>
    <row r="49" spans="1:12" ht="13.5">
      <c r="A49" s="38"/>
      <c r="B49" s="38"/>
      <c r="C49" s="38" t="s">
        <v>75</v>
      </c>
      <c r="D49" s="90">
        <f>F14</f>
        <v>54.917</v>
      </c>
      <c r="E49" s="59" t="s">
        <v>76</v>
      </c>
      <c r="F49" s="99">
        <f>I21</f>
        <v>0.375</v>
      </c>
      <c r="G49" s="59" t="s">
        <v>77</v>
      </c>
      <c r="H49" s="90">
        <f>IF($I$21&gt;$J$44,$J$44,$I$21)</f>
        <v>0.375</v>
      </c>
      <c r="I49" s="50" t="s">
        <v>78</v>
      </c>
      <c r="J49" s="90">
        <f>ROUND(F14/2*(I21/2-IF(I21&gt;J44,J44,I21)/4),3)</f>
        <v>2.574</v>
      </c>
      <c r="K49" s="38" t="s">
        <v>79</v>
      </c>
      <c r="L49" s="38"/>
    </row>
    <row r="50" spans="1:12" ht="13.5">
      <c r="A50" s="38"/>
      <c r="B50" s="38" t="s">
        <v>15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ht="13.5">
      <c r="A51" s="38"/>
      <c r="B51" s="38"/>
      <c r="C51" s="38" t="s">
        <v>171</v>
      </c>
      <c r="D51" s="38"/>
      <c r="E51" s="38"/>
      <c r="F51" s="38"/>
      <c r="G51" s="38"/>
      <c r="H51" s="38"/>
      <c r="I51" s="38"/>
      <c r="J51" s="38"/>
      <c r="K51" s="38"/>
      <c r="L51" s="38"/>
    </row>
    <row r="52" spans="1:12" ht="13.5">
      <c r="A52" s="38"/>
      <c r="B52" s="38"/>
      <c r="C52" s="38" t="s">
        <v>80</v>
      </c>
      <c r="D52" s="90">
        <f>J49</f>
        <v>2.574</v>
      </c>
      <c r="E52" s="59" t="s">
        <v>81</v>
      </c>
      <c r="F52" s="60">
        <f>J43</f>
        <v>0.7000000000000001</v>
      </c>
      <c r="G52" s="59"/>
      <c r="H52" s="38"/>
      <c r="I52" s="42" t="s">
        <v>71</v>
      </c>
      <c r="J52" s="90">
        <f>ROUND(J49/J43,3)</f>
        <v>3.677</v>
      </c>
      <c r="K52" s="38" t="s">
        <v>82</v>
      </c>
      <c r="L52" s="38"/>
    </row>
    <row r="53" spans="1:12" ht="13.5">
      <c r="A53" s="38"/>
      <c r="B53" s="38"/>
      <c r="C53" s="38"/>
      <c r="D53" s="46"/>
      <c r="E53" s="59"/>
      <c r="F53" s="60"/>
      <c r="G53" s="59"/>
      <c r="H53" s="38"/>
      <c r="I53" s="42"/>
      <c r="J53" s="46"/>
      <c r="K53" s="38"/>
      <c r="L53" s="38"/>
    </row>
    <row r="54" spans="1:12" ht="13.5">
      <c r="A54" s="38"/>
      <c r="B54" s="38"/>
      <c r="C54" s="38"/>
      <c r="D54" s="38"/>
      <c r="E54" s="38"/>
      <c r="F54" s="61"/>
      <c r="G54" s="38"/>
      <c r="H54" s="38"/>
      <c r="I54" s="38"/>
      <c r="J54" s="38"/>
      <c r="K54" s="38"/>
      <c r="L54" s="38"/>
    </row>
    <row r="55" spans="1:12" ht="13.5">
      <c r="A55" s="38"/>
      <c r="B55" s="38"/>
      <c r="C55" s="38"/>
      <c r="D55" s="38"/>
      <c r="E55" s="38"/>
      <c r="F55" s="61"/>
      <c r="G55" s="38"/>
      <c r="H55" s="38"/>
      <c r="I55" s="38"/>
      <c r="J55" s="38"/>
      <c r="K55" s="38"/>
      <c r="L55" s="38"/>
    </row>
    <row r="56" spans="1:12" ht="13.5">
      <c r="A56" s="38"/>
      <c r="B56" s="38"/>
      <c r="C56" s="38"/>
      <c r="D56" s="38"/>
      <c r="E56" s="38"/>
      <c r="F56" s="61"/>
      <c r="G56" s="38"/>
      <c r="H56" s="38"/>
      <c r="I56" s="38"/>
      <c r="J56" s="38"/>
      <c r="K56" s="38"/>
      <c r="L56" s="38"/>
    </row>
    <row r="57" spans="1:12" ht="13.5">
      <c r="A57" s="56" t="s">
        <v>16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13.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13.5">
      <c r="A59" s="38"/>
      <c r="B59" s="38" t="s">
        <v>17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2" ht="13.5">
      <c r="A60" s="38"/>
      <c r="B60" s="38"/>
      <c r="C60" s="38" t="s">
        <v>172</v>
      </c>
      <c r="D60" s="38"/>
      <c r="E60" s="38"/>
      <c r="F60" s="38"/>
      <c r="G60" s="38"/>
      <c r="H60" s="38"/>
      <c r="I60" s="38"/>
      <c r="J60" s="38"/>
      <c r="K60" s="38"/>
      <c r="L60" s="38"/>
    </row>
    <row r="61" spans="1:12" ht="13.5">
      <c r="A61" s="38"/>
      <c r="B61" s="38"/>
      <c r="C61" s="38" t="s">
        <v>83</v>
      </c>
      <c r="D61" s="90">
        <f>J52</f>
        <v>3.677</v>
      </c>
      <c r="E61" s="42" t="s">
        <v>84</v>
      </c>
      <c r="F61" s="42">
        <v>0.25</v>
      </c>
      <c r="G61" s="38"/>
      <c r="H61" s="38"/>
      <c r="I61" s="42" t="s">
        <v>31</v>
      </c>
      <c r="J61" s="90">
        <f>ROUND(J52*0.25,3)</f>
        <v>0.919</v>
      </c>
      <c r="K61" s="38" t="s">
        <v>85</v>
      </c>
      <c r="L61" s="38"/>
    </row>
    <row r="62" spans="1:12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2" ht="13.5">
      <c r="A63" s="56" t="s">
        <v>21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2" ht="13.5">
      <c r="A64" s="38"/>
      <c r="B64" s="38"/>
      <c r="C64" s="38" t="s">
        <v>86</v>
      </c>
      <c r="D64" s="38"/>
      <c r="E64" s="38"/>
      <c r="F64" s="38"/>
      <c r="G64" s="38"/>
      <c r="H64" s="38"/>
      <c r="I64" s="38"/>
      <c r="J64" s="38"/>
      <c r="K64" s="38"/>
      <c r="L64" s="38"/>
    </row>
    <row r="65" spans="1:12" ht="13.5">
      <c r="A65" s="38"/>
      <c r="B65" s="38"/>
      <c r="C65" s="38" t="s">
        <v>87</v>
      </c>
      <c r="D65" s="95">
        <f>K23</f>
        <v>0.073</v>
      </c>
      <c r="E65" s="42" t="s">
        <v>88</v>
      </c>
      <c r="F65" s="90">
        <f>J52</f>
        <v>3.677</v>
      </c>
      <c r="G65" s="42" t="s">
        <v>88</v>
      </c>
      <c r="H65" s="90">
        <f>J61</f>
        <v>0.919</v>
      </c>
      <c r="I65" s="42" t="s">
        <v>58</v>
      </c>
      <c r="J65" s="90">
        <f>K23+J52+J61</f>
        <v>4.6690000000000005</v>
      </c>
      <c r="K65" s="38" t="s">
        <v>89</v>
      </c>
      <c r="L65" s="38"/>
    </row>
    <row r="67" spans="1:4" ht="14.25">
      <c r="A67" s="5" t="s">
        <v>152</v>
      </c>
      <c r="B67" s="6"/>
      <c r="C67" s="6"/>
      <c r="D67" s="6"/>
    </row>
    <row r="69" spans="1:12" ht="13.5">
      <c r="A69" s="38" t="s">
        <v>22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1:12" ht="13.5">
      <c r="A70" s="62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1:12" ht="13.5">
      <c r="A71" s="38"/>
      <c r="B71" s="38"/>
      <c r="C71" s="38" t="s">
        <v>90</v>
      </c>
      <c r="D71" s="38"/>
      <c r="E71" s="38"/>
      <c r="F71" s="38"/>
      <c r="G71" s="38"/>
      <c r="H71" s="38"/>
      <c r="I71" s="38"/>
      <c r="J71" s="38"/>
      <c r="K71" s="38"/>
      <c r="L71" s="38"/>
    </row>
    <row r="72" spans="1:12" ht="13.5">
      <c r="A72" s="38"/>
      <c r="B72" s="38"/>
      <c r="C72" s="38" t="s">
        <v>91</v>
      </c>
      <c r="D72" s="63" t="s">
        <v>92</v>
      </c>
      <c r="E72" s="42" t="s">
        <v>93</v>
      </c>
      <c r="F72" s="90">
        <f>I10</f>
        <v>4.167</v>
      </c>
      <c r="G72" s="42" t="s">
        <v>93</v>
      </c>
      <c r="H72" s="100">
        <f>I21</f>
        <v>0.375</v>
      </c>
      <c r="I72" s="42" t="s">
        <v>94</v>
      </c>
      <c r="J72" s="90">
        <f>ROUND(1/2*I10*I21,3)</f>
        <v>0.781</v>
      </c>
      <c r="K72" s="38" t="s">
        <v>95</v>
      </c>
      <c r="L72" s="38"/>
    </row>
    <row r="73" spans="1:12" ht="13.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1:12" ht="13.5">
      <c r="A74" s="38" t="s">
        <v>47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1:12" ht="13.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1:12" ht="13.5">
      <c r="A76" s="38"/>
      <c r="B76" s="38" t="s">
        <v>42</v>
      </c>
      <c r="C76" s="38"/>
      <c r="D76" s="38" t="str">
        <f>$J$43&amp;"m"</f>
        <v>0.7m</v>
      </c>
      <c r="E76" s="38" t="s">
        <v>44</v>
      </c>
      <c r="F76" s="38"/>
      <c r="G76" s="38"/>
      <c r="H76" s="38"/>
      <c r="I76" s="38"/>
      <c r="J76" s="38"/>
      <c r="K76" s="38"/>
      <c r="L76" s="38"/>
    </row>
    <row r="77" spans="1:12" ht="13.5">
      <c r="A77" s="38"/>
      <c r="B77" s="38"/>
      <c r="C77" s="38" t="s">
        <v>96</v>
      </c>
      <c r="D77" s="38"/>
      <c r="E77" s="38"/>
      <c r="F77" s="38"/>
      <c r="G77" s="38"/>
      <c r="H77" s="38"/>
      <c r="I77" s="38"/>
      <c r="J77" s="38"/>
      <c r="K77" s="38"/>
      <c r="L77" s="38"/>
    </row>
    <row r="78" spans="1:12" ht="13.5">
      <c r="A78" s="38"/>
      <c r="B78" s="38"/>
      <c r="C78" s="38" t="s">
        <v>75</v>
      </c>
      <c r="D78" s="90">
        <f>F14</f>
        <v>54.917</v>
      </c>
      <c r="E78" s="65" t="s">
        <v>97</v>
      </c>
      <c r="F78" s="101">
        <f>I21</f>
        <v>0.375</v>
      </c>
      <c r="G78" s="84">
        <f>I21</f>
        <v>0.375</v>
      </c>
      <c r="H78" s="90">
        <f>IF($I$21&gt;$J$44,$J$44,$I$21)</f>
        <v>0.375</v>
      </c>
      <c r="I78" s="50" t="s">
        <v>98</v>
      </c>
      <c r="J78" s="90">
        <f>ROUND(F14/I21*(I21-(IF(I21&gt;J44,J44,I21))/2),3)</f>
        <v>27.459</v>
      </c>
      <c r="K78" s="38" t="s">
        <v>99</v>
      </c>
      <c r="L78" s="38"/>
    </row>
    <row r="79" spans="1:12" ht="13.5">
      <c r="A79" s="38"/>
      <c r="B79" s="38" t="s">
        <v>15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1:12" ht="13.5">
      <c r="A80" s="38"/>
      <c r="B80" s="38"/>
      <c r="C80" s="38" t="s">
        <v>173</v>
      </c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3.5">
      <c r="A81" s="38"/>
      <c r="B81" s="38"/>
      <c r="C81" s="38" t="s">
        <v>80</v>
      </c>
      <c r="D81" s="90">
        <f>J78</f>
        <v>27.459</v>
      </c>
      <c r="E81" s="59" t="s">
        <v>81</v>
      </c>
      <c r="F81" s="60">
        <f>J43</f>
        <v>0.7000000000000001</v>
      </c>
      <c r="G81" s="59"/>
      <c r="H81" s="38"/>
      <c r="I81" s="42" t="s">
        <v>71</v>
      </c>
      <c r="J81" s="90">
        <f>ROUND(J78/J43,3)</f>
        <v>39.227</v>
      </c>
      <c r="K81" s="38" t="s">
        <v>100</v>
      </c>
      <c r="L81" s="38"/>
    </row>
    <row r="82" spans="1:12" ht="13.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3.5">
      <c r="A83" s="56" t="s">
        <v>24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3.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3.5">
      <c r="A85" s="38"/>
      <c r="B85" s="38"/>
      <c r="C85" s="38" t="s">
        <v>174</v>
      </c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3.5">
      <c r="A86" s="38"/>
      <c r="B86" s="38"/>
      <c r="C86" s="38" t="s">
        <v>18</v>
      </c>
      <c r="D86" s="90">
        <f>J81</f>
        <v>39.227</v>
      </c>
      <c r="E86" s="42" t="s">
        <v>19</v>
      </c>
      <c r="F86" s="42">
        <v>0.25</v>
      </c>
      <c r="G86" s="38"/>
      <c r="H86" s="38"/>
      <c r="I86" s="42" t="s">
        <v>20</v>
      </c>
      <c r="J86" s="90">
        <f>ROUND(J81*0.25,3)</f>
        <v>9.807</v>
      </c>
      <c r="K86" s="38" t="s">
        <v>101</v>
      </c>
      <c r="L86" s="38"/>
    </row>
    <row r="87" spans="1:12" ht="13.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1:12" ht="13.5">
      <c r="A88" s="56" t="s">
        <v>25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1:12" ht="13.5">
      <c r="A89" s="38"/>
      <c r="B89" s="38"/>
      <c r="C89" s="38" t="s">
        <v>102</v>
      </c>
      <c r="D89" s="38"/>
      <c r="E89" s="38"/>
      <c r="F89" s="38"/>
      <c r="G89" s="38"/>
      <c r="H89" s="38"/>
      <c r="I89" s="38"/>
      <c r="J89" s="38"/>
      <c r="K89" s="38"/>
      <c r="L89" s="38"/>
    </row>
    <row r="90" spans="1:12" ht="13.5">
      <c r="A90" s="38"/>
      <c r="B90" s="38"/>
      <c r="C90" s="38" t="s">
        <v>87</v>
      </c>
      <c r="D90" s="95">
        <f>J72</f>
        <v>0.781</v>
      </c>
      <c r="E90" s="42" t="s">
        <v>88</v>
      </c>
      <c r="F90" s="90">
        <f>J81</f>
        <v>39.227</v>
      </c>
      <c r="G90" s="42" t="s">
        <v>88</v>
      </c>
      <c r="H90" s="90">
        <f>J86</f>
        <v>9.807</v>
      </c>
      <c r="I90" s="42" t="s">
        <v>58</v>
      </c>
      <c r="J90" s="90">
        <f>J72+J81+J86</f>
        <v>49.815</v>
      </c>
      <c r="K90" s="38" t="s">
        <v>103</v>
      </c>
      <c r="L90" s="38"/>
    </row>
    <row r="92" spans="1:3" ht="14.25">
      <c r="A92" s="5" t="s">
        <v>153</v>
      </c>
      <c r="B92" s="6"/>
      <c r="C92" s="6"/>
    </row>
    <row r="93" spans="1:12" ht="13.5">
      <c r="A93" s="7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ht="13.5">
      <c r="A94" s="62"/>
      <c r="B94" s="38" t="s">
        <v>49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1:12" ht="13.5">
      <c r="A95" s="38"/>
      <c r="B95" s="38" t="s">
        <v>222</v>
      </c>
      <c r="C95" s="38"/>
      <c r="D95" s="57" t="str">
        <f>"/ "&amp;'設計条件'!$H$15*0.01</f>
        <v>/ 0.1</v>
      </c>
      <c r="E95" s="42" t="s">
        <v>104</v>
      </c>
      <c r="F95" s="66">
        <f>ROUND(1/('設計条件'!$H$15*0.01),1)</f>
        <v>10</v>
      </c>
      <c r="G95" s="38"/>
      <c r="H95" s="38"/>
      <c r="I95" s="38"/>
      <c r="J95" s="38"/>
      <c r="K95" s="38"/>
      <c r="L95" s="38"/>
    </row>
    <row r="96" spans="1:12" ht="13.5">
      <c r="A96" s="38"/>
      <c r="B96" s="38" t="s">
        <v>26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1:12" ht="15">
      <c r="A97" s="38"/>
      <c r="B97" s="38" t="s">
        <v>175</v>
      </c>
      <c r="C97" s="38"/>
      <c r="D97" s="38"/>
      <c r="E97" s="38"/>
      <c r="F97" s="38"/>
      <c r="G97" s="38" t="s">
        <v>27</v>
      </c>
      <c r="H97" s="38"/>
      <c r="I97" s="38"/>
      <c r="J97" s="38" t="s">
        <v>259</v>
      </c>
      <c r="K97" s="38"/>
      <c r="L97" s="38"/>
    </row>
    <row r="98" spans="1:12" ht="15">
      <c r="A98" s="38"/>
      <c r="B98" s="38"/>
      <c r="C98" s="38"/>
      <c r="D98" s="38"/>
      <c r="E98" s="38"/>
      <c r="F98" s="38"/>
      <c r="G98" s="38" t="s">
        <v>260</v>
      </c>
      <c r="H98" s="38"/>
      <c r="I98" s="38"/>
      <c r="J98" s="38"/>
      <c r="K98" s="38" t="s">
        <v>257</v>
      </c>
      <c r="L98" s="38"/>
    </row>
    <row r="99" spans="1:12" ht="15">
      <c r="A99" s="38"/>
      <c r="B99" s="38" t="s">
        <v>223</v>
      </c>
      <c r="C99" s="38"/>
      <c r="D99" s="67" t="str">
        <f>ROUNDDOWN(J65*1000,0)*1000&amp;" ／ "&amp;ROUNDDOWN(PI()*('設計条件'!H15*10)^3/32*F95,0)&amp;"  ＝  "</f>
        <v>4669000 ／ 981747  ＝  </v>
      </c>
      <c r="E99" s="61"/>
      <c r="F99" s="68"/>
      <c r="G99" s="69">
        <f>(ROUNDDOWN(J65*1000,0)*1000)/(PI()*('設計条件'!H15*10)^3/32*F95)</f>
        <v>4.75580434749478</v>
      </c>
      <c r="H99" s="42" t="str">
        <f>IF(G99&lt;=J99,"＜","＞")</f>
        <v>＜</v>
      </c>
      <c r="I99" s="42" t="s">
        <v>105</v>
      </c>
      <c r="J99" s="46">
        <f>'設計条件'!H28</f>
        <v>17.6</v>
      </c>
      <c r="K99" s="38" t="s">
        <v>224</v>
      </c>
      <c r="L99" s="38"/>
    </row>
    <row r="100" spans="1:12" ht="13.5">
      <c r="A100" s="38"/>
      <c r="B100" s="38"/>
      <c r="C100" s="38"/>
      <c r="D100" s="38"/>
      <c r="E100" s="38"/>
      <c r="F100" s="38"/>
      <c r="G100" s="38"/>
      <c r="H100" s="42" t="s">
        <v>106</v>
      </c>
      <c r="I100" s="42" t="str">
        <f>IF(G99&lt;J99,"OK","OUT")</f>
        <v>OK</v>
      </c>
      <c r="J100" s="38"/>
      <c r="K100" s="38"/>
      <c r="L100" s="38"/>
    </row>
    <row r="101" spans="1:12" ht="13.5">
      <c r="A101" s="38"/>
      <c r="B101" s="38"/>
      <c r="C101" s="38"/>
      <c r="D101" s="38"/>
      <c r="E101" s="38"/>
      <c r="F101" s="38"/>
      <c r="G101" s="38"/>
      <c r="H101" s="42"/>
      <c r="I101" s="42"/>
      <c r="J101" s="38"/>
      <c r="K101" s="42"/>
      <c r="L101" s="38"/>
    </row>
    <row r="102" spans="1:12" ht="13.5">
      <c r="A102" s="38"/>
      <c r="B102" s="38" t="s">
        <v>28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12" ht="13.5">
      <c r="A103" s="38"/>
      <c r="B103" s="38" t="s">
        <v>176</v>
      </c>
      <c r="C103" s="38"/>
      <c r="D103" s="38"/>
      <c r="E103" s="38"/>
      <c r="F103" s="38"/>
      <c r="G103" s="38" t="s">
        <v>29</v>
      </c>
      <c r="H103" s="38"/>
      <c r="I103" s="38"/>
      <c r="J103" s="38"/>
      <c r="K103" s="38"/>
      <c r="L103" s="38"/>
    </row>
    <row r="104" spans="1:12" ht="13.5">
      <c r="A104" s="38"/>
      <c r="B104" s="38"/>
      <c r="C104" s="38"/>
      <c r="D104" s="38"/>
      <c r="E104" s="38"/>
      <c r="F104" s="38"/>
      <c r="G104" s="38" t="s">
        <v>132</v>
      </c>
      <c r="H104" s="38"/>
      <c r="I104" s="38"/>
      <c r="J104" s="38"/>
      <c r="K104" s="38"/>
      <c r="L104" s="38"/>
    </row>
    <row r="105" spans="1:12" ht="15">
      <c r="A105" s="38"/>
      <c r="B105" s="38" t="s">
        <v>108</v>
      </c>
      <c r="C105" s="42" t="s">
        <v>109</v>
      </c>
      <c r="D105" s="67" t="str">
        <f>ROUNDDOWN(J90*1000,0)*1&amp;"  ／  "&amp;ROUNDDOWN(PI()*(('設計条件'!H15)*10/2)^2*$F$95,0)&amp;"    ＝  "</f>
        <v>49815  ／  78539    ＝  </v>
      </c>
      <c r="E105" s="61"/>
      <c r="F105" s="70"/>
      <c r="G105" s="69">
        <f>(ROUNDDOWN(J90*1000,0)*1)/(PI()*('設計条件'!H15/2*10)^2*10)</f>
        <v>0.6342642792098212</v>
      </c>
      <c r="H105" s="42" t="str">
        <f>IF(G105&lt;=J105,"＜","＞")</f>
        <v>＜</v>
      </c>
      <c r="I105" s="42" t="s">
        <v>110</v>
      </c>
      <c r="J105" s="46">
        <f>'設計条件'!H29</f>
        <v>1.6</v>
      </c>
      <c r="K105" s="38" t="s">
        <v>225</v>
      </c>
      <c r="L105" s="38"/>
    </row>
    <row r="106" spans="1:12" ht="13.5">
      <c r="A106" s="38"/>
      <c r="B106" s="38"/>
      <c r="C106" s="38"/>
      <c r="D106" s="38"/>
      <c r="E106" s="38"/>
      <c r="F106" s="38"/>
      <c r="G106" s="38"/>
      <c r="H106" s="42" t="s">
        <v>111</v>
      </c>
      <c r="I106" s="42" t="str">
        <f>IF(G105&lt;J105,"OK","OUT")</f>
        <v>OK</v>
      </c>
      <c r="J106" s="38"/>
      <c r="K106" s="38"/>
      <c r="L106" s="38"/>
    </row>
    <row r="107" spans="1:12" ht="13.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ht="13.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ht="13.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ht="13.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ht="13.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ht="13.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ht="13.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ht="13.5">
      <c r="A114" s="38"/>
      <c r="B114" s="38"/>
      <c r="C114" s="38"/>
      <c r="D114" s="38"/>
      <c r="E114" s="38"/>
      <c r="F114" s="61"/>
      <c r="G114" s="38"/>
      <c r="H114" s="38"/>
      <c r="I114" s="38"/>
      <c r="J114" s="38"/>
      <c r="K114" s="38"/>
      <c r="L114" s="38"/>
    </row>
    <row r="115" spans="1:4" ht="17.25">
      <c r="A115" s="2" t="s">
        <v>154</v>
      </c>
      <c r="B115" s="4"/>
      <c r="C115" s="4"/>
      <c r="D115" s="4"/>
    </row>
    <row r="116" spans="1:4" ht="13.5">
      <c r="A116" s="4"/>
      <c r="B116" s="4"/>
      <c r="C116" s="4"/>
      <c r="D116" s="4"/>
    </row>
    <row r="117" spans="1:4" ht="14.25">
      <c r="A117" s="5" t="s">
        <v>155</v>
      </c>
      <c r="B117" s="5"/>
      <c r="C117" s="5"/>
      <c r="D117" s="4"/>
    </row>
    <row r="118" spans="1:12" ht="13.5">
      <c r="A118" s="38" t="s">
        <v>226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13.5">
      <c r="A119" s="38"/>
      <c r="B119" s="38" t="s">
        <v>30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3.5">
      <c r="A120" s="38"/>
      <c r="B120" s="41" t="s">
        <v>133</v>
      </c>
      <c r="C120" s="42"/>
      <c r="D120" s="42" t="s">
        <v>53</v>
      </c>
      <c r="E120" s="90">
        <f>I10</f>
        <v>4.167</v>
      </c>
      <c r="F120" s="38" t="s">
        <v>54</v>
      </c>
      <c r="G120" s="71" t="s">
        <v>112</v>
      </c>
      <c r="H120" s="46">
        <f>'設計条件'!$H$19/100</f>
        <v>0.45</v>
      </c>
      <c r="I120" s="38"/>
      <c r="J120" s="42" t="s">
        <v>53</v>
      </c>
      <c r="K120" s="90">
        <f>ROUND(('設計条件'!$H$19/100)*I10,3)</f>
        <v>1.875</v>
      </c>
      <c r="L120" s="38" t="s">
        <v>113</v>
      </c>
    </row>
    <row r="121" spans="1:12" ht="15">
      <c r="A121" s="38"/>
      <c r="B121" s="41" t="s">
        <v>32</v>
      </c>
      <c r="C121" s="42"/>
      <c r="D121" s="42" t="s">
        <v>20</v>
      </c>
      <c r="E121" s="46" t="str">
        <f>"( "&amp;TEXT('設計条件'!$H$17/100/2,"0.000")&amp;")"</f>
        <v>( 0.175)</v>
      </c>
      <c r="F121" s="72" t="s">
        <v>227</v>
      </c>
      <c r="G121" s="73" t="str">
        <f>"X  "&amp;"1.0"</f>
        <v>X  1.0</v>
      </c>
      <c r="H121" s="47" t="s">
        <v>114</v>
      </c>
      <c r="I121" s="85">
        <v>6.4</v>
      </c>
      <c r="J121" s="42" t="s">
        <v>20</v>
      </c>
      <c r="K121" s="90">
        <f>ROUND(('設計条件'!$H$17/100/2)^2*PI()*1*6.4,3)</f>
        <v>0.616</v>
      </c>
      <c r="L121" s="38" t="s">
        <v>115</v>
      </c>
    </row>
    <row r="122" spans="1:12" ht="13.5">
      <c r="A122" s="38"/>
      <c r="B122" s="41" t="s">
        <v>33</v>
      </c>
      <c r="C122" s="42"/>
      <c r="D122" s="42" t="s">
        <v>116</v>
      </c>
      <c r="E122" s="42"/>
      <c r="F122" s="46"/>
      <c r="G122" s="38"/>
      <c r="H122" s="42"/>
      <c r="I122" s="46"/>
      <c r="J122" s="42" t="s">
        <v>116</v>
      </c>
      <c r="K122" s="90">
        <v>0.1</v>
      </c>
      <c r="L122" s="38" t="s">
        <v>117</v>
      </c>
    </row>
    <row r="123" spans="1:12" ht="13.5">
      <c r="A123" s="38"/>
      <c r="B123" s="38"/>
      <c r="C123" s="38"/>
      <c r="D123" s="46"/>
      <c r="E123" s="42"/>
      <c r="F123" s="47"/>
      <c r="G123" s="38" t="s">
        <v>2</v>
      </c>
      <c r="H123" s="42"/>
      <c r="I123" s="42" t="s">
        <v>118</v>
      </c>
      <c r="J123" s="42" t="s">
        <v>58</v>
      </c>
      <c r="K123" s="91">
        <f>SUM(K120:K122)</f>
        <v>2.591</v>
      </c>
      <c r="L123" s="38" t="s">
        <v>119</v>
      </c>
    </row>
    <row r="124" spans="1:12" ht="13.5">
      <c r="A124" s="38" t="s">
        <v>169</v>
      </c>
      <c r="B124" s="38"/>
      <c r="C124" s="38"/>
      <c r="D124" s="38"/>
      <c r="E124" s="38"/>
      <c r="F124" s="38"/>
      <c r="G124" s="38"/>
      <c r="H124" s="42"/>
      <c r="I124" s="38"/>
      <c r="J124" s="38"/>
      <c r="K124" s="38"/>
      <c r="L124" s="38"/>
    </row>
    <row r="125" spans="1:12" ht="13.5">
      <c r="A125" s="38"/>
      <c r="B125" s="38"/>
      <c r="C125" s="42" t="s">
        <v>120</v>
      </c>
      <c r="D125" s="42" t="s">
        <v>58</v>
      </c>
      <c r="E125" s="90">
        <f>'設計条件'!$H$9*4*0.980665</f>
        <v>54.91724</v>
      </c>
      <c r="F125" s="41" t="s">
        <v>121</v>
      </c>
      <c r="G125" s="38" t="s">
        <v>4</v>
      </c>
      <c r="H125" s="46"/>
      <c r="I125" s="38"/>
      <c r="J125" s="38"/>
      <c r="K125" s="38"/>
      <c r="L125" s="38"/>
    </row>
    <row r="126" spans="1:12" ht="13.5">
      <c r="A126" s="8"/>
      <c r="B126" s="8" t="s">
        <v>148</v>
      </c>
      <c r="C126" s="32"/>
      <c r="D126" s="32"/>
      <c r="E126" s="74"/>
      <c r="F126" s="75"/>
      <c r="G126" s="8"/>
      <c r="H126" s="74"/>
      <c r="I126" s="8"/>
      <c r="J126" s="8"/>
      <c r="K126" s="8"/>
      <c r="L126" s="8"/>
    </row>
    <row r="127" spans="1:12" ht="13.5">
      <c r="A127" s="38"/>
      <c r="B127" s="38" t="s">
        <v>45</v>
      </c>
      <c r="C127" s="49" t="s">
        <v>122</v>
      </c>
      <c r="D127" s="96">
        <v>0.24</v>
      </c>
      <c r="E127" s="98">
        <f>'設計条件'!$H$14*0.01</f>
        <v>0.2</v>
      </c>
      <c r="F127" s="54" t="s">
        <v>177</v>
      </c>
      <c r="G127" s="46" t="str">
        <f>"+  "&amp;TEXT('設計条件'!$H$15*0.01*2,"0.000")</f>
        <v>+  0.200</v>
      </c>
      <c r="H127" s="42" t="s">
        <v>123</v>
      </c>
      <c r="I127" s="95">
        <f>0.24+$E$127*2+$G$127</f>
        <v>0.8400000000000001</v>
      </c>
      <c r="J127" s="38" t="s">
        <v>124</v>
      </c>
      <c r="K127" s="38"/>
      <c r="L127" s="38"/>
    </row>
    <row r="128" spans="1:12" ht="13.5">
      <c r="A128" s="38"/>
      <c r="B128" s="38" t="s">
        <v>46</v>
      </c>
      <c r="C128" s="49" t="s">
        <v>125</v>
      </c>
      <c r="D128" s="96">
        <f>'設計条件'!$H$19*0.01</f>
        <v>0.45</v>
      </c>
      <c r="E128" s="58" t="str">
        <f>TEXT('設計条件'!$H$17*0.01,"0.000")</f>
        <v>0.350</v>
      </c>
      <c r="F128" s="41"/>
      <c r="G128" s="38"/>
      <c r="H128" s="42" t="s">
        <v>126</v>
      </c>
      <c r="I128" s="86">
        <f>$D$128+$E$128</f>
        <v>0.8</v>
      </c>
      <c r="J128" s="38" t="s">
        <v>127</v>
      </c>
      <c r="K128" s="38"/>
      <c r="L128" s="38"/>
    </row>
    <row r="129" spans="1:12" ht="13.5">
      <c r="A129" s="8"/>
      <c r="B129" s="8"/>
      <c r="C129" s="75" t="str">
        <f>IF($I$128&lt;$I$127,"　　　桁間隔の方が分布幅より小さいため荷重分担を考慮する。","　　　桁間隔の方が分布幅より大きいため荷重分担を考慮しない。")</f>
        <v>　　　桁間隔の方が分布幅より小さいため荷重分担を考慮する。</v>
      </c>
      <c r="D129" s="32"/>
      <c r="E129" s="74"/>
      <c r="F129" s="75"/>
      <c r="G129" s="8"/>
      <c r="H129" s="74"/>
      <c r="I129" s="8"/>
      <c r="J129" s="8"/>
      <c r="K129" s="8"/>
      <c r="L129" s="8"/>
    </row>
    <row r="130" spans="1:12" ht="13.5">
      <c r="A130" s="8"/>
      <c r="B130" s="76" t="s">
        <v>178</v>
      </c>
      <c r="C130" s="32" t="s">
        <v>179</v>
      </c>
      <c r="D130" s="32" t="s">
        <v>126</v>
      </c>
      <c r="E130" s="87">
        <f>IF($I$127&lt;$I$128,ROUND('設計条件'!$H$9*4*0.980665,3),ROUND('設計条件'!$H$9*4*0.980665/2,3))</f>
        <v>27.459</v>
      </c>
      <c r="F130" s="75" t="s">
        <v>180</v>
      </c>
      <c r="G130" s="8"/>
      <c r="H130" s="74"/>
      <c r="I130" s="8"/>
      <c r="J130" s="8"/>
      <c r="K130" s="8"/>
      <c r="L130" s="8"/>
    </row>
    <row r="131" spans="1:12" ht="13.5">
      <c r="A131" s="8"/>
      <c r="B131" s="76"/>
      <c r="C131" s="32"/>
      <c r="D131" s="32"/>
      <c r="E131" s="74"/>
      <c r="F131" s="75"/>
      <c r="G131" s="8"/>
      <c r="H131" s="74"/>
      <c r="I131" s="8"/>
      <c r="J131" s="8"/>
      <c r="K131" s="8"/>
      <c r="L131" s="8"/>
    </row>
    <row r="132" spans="1:5" ht="14.25">
      <c r="A132" s="5" t="s">
        <v>156</v>
      </c>
      <c r="B132" s="5"/>
      <c r="C132" s="5"/>
      <c r="D132" s="5"/>
      <c r="E132" s="5"/>
    </row>
    <row r="133" spans="1:12" ht="14.25">
      <c r="A133" s="77"/>
      <c r="B133" s="38" t="s">
        <v>168</v>
      </c>
      <c r="C133" s="77"/>
      <c r="D133" s="77"/>
      <c r="E133" s="77"/>
      <c r="F133" s="8"/>
      <c r="G133" s="8"/>
      <c r="H133" s="8"/>
      <c r="I133" s="8"/>
      <c r="J133" s="8"/>
      <c r="K133" s="8"/>
      <c r="L133" s="8"/>
    </row>
    <row r="134" spans="1:12" ht="14.25">
      <c r="A134" s="77"/>
      <c r="B134" s="38" t="s">
        <v>236</v>
      </c>
      <c r="C134" s="77"/>
      <c r="D134" s="77"/>
      <c r="E134" s="77"/>
      <c r="F134" s="8"/>
      <c r="G134" s="8"/>
      <c r="H134" s="8"/>
      <c r="I134" s="8"/>
      <c r="J134" s="8"/>
      <c r="K134" s="8"/>
      <c r="L134" s="8"/>
    </row>
    <row r="135" spans="1:12" ht="14.25">
      <c r="A135" s="77"/>
      <c r="B135" s="38" t="s">
        <v>198</v>
      </c>
      <c r="C135" s="77"/>
      <c r="D135" s="77"/>
      <c r="E135" s="77"/>
      <c r="F135" s="8"/>
      <c r="G135" s="8"/>
      <c r="H135" s="8"/>
      <c r="I135" s="8"/>
      <c r="J135" s="8"/>
      <c r="K135" s="8"/>
      <c r="L135" s="8"/>
    </row>
    <row r="136" spans="1:12" ht="14.25">
      <c r="A136" s="77"/>
      <c r="B136" s="38"/>
      <c r="C136" s="77"/>
      <c r="D136" s="77"/>
      <c r="E136" s="77"/>
      <c r="F136" s="8"/>
      <c r="G136" s="8"/>
      <c r="H136" s="8"/>
      <c r="I136" s="8"/>
      <c r="J136" s="8"/>
      <c r="K136" s="8"/>
      <c r="L136" s="8"/>
    </row>
    <row r="137" spans="1:12" ht="13.5">
      <c r="A137" s="38" t="s">
        <v>5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ht="13.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ht="13.5">
      <c r="A139" s="38"/>
      <c r="B139" s="38" t="s">
        <v>200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ht="14.25">
      <c r="A140" s="38"/>
      <c r="B140" s="38" t="s">
        <v>237</v>
      </c>
      <c r="C140" s="38"/>
      <c r="D140" s="64"/>
      <c r="E140" s="42"/>
      <c r="F140" s="90">
        <v>-4.62</v>
      </c>
      <c r="G140" s="75" t="s">
        <v>239</v>
      </c>
      <c r="H140" s="42"/>
      <c r="I140" s="54"/>
      <c r="J140" s="38"/>
      <c r="K140" s="78"/>
      <c r="L140" s="38"/>
    </row>
    <row r="141" spans="1:12" ht="14.25">
      <c r="A141" s="38"/>
      <c r="B141" s="38" t="s">
        <v>238</v>
      </c>
      <c r="C141" s="8"/>
      <c r="D141" s="8"/>
      <c r="E141" s="8"/>
      <c r="F141" s="87">
        <v>3.477</v>
      </c>
      <c r="G141" s="75" t="s">
        <v>240</v>
      </c>
      <c r="H141" s="8"/>
      <c r="I141" s="51"/>
      <c r="J141" s="38"/>
      <c r="K141" s="38"/>
      <c r="L141" s="38"/>
    </row>
    <row r="142" spans="1:12" ht="13.5">
      <c r="A142" s="38"/>
      <c r="B142" s="38"/>
      <c r="C142" s="52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ht="15">
      <c r="A143" s="38" t="s">
        <v>9</v>
      </c>
      <c r="B143" s="38"/>
      <c r="C143" s="38"/>
      <c r="D143" s="38"/>
      <c r="E143" s="53"/>
      <c r="F143" s="42"/>
      <c r="G143" s="54"/>
      <c r="H143" s="42"/>
      <c r="I143" s="51"/>
      <c r="J143" s="55"/>
      <c r="K143" s="46"/>
      <c r="L143" s="38"/>
    </row>
    <row r="144" spans="1:12" ht="13.5">
      <c r="A144" s="38"/>
      <c r="B144" s="38" t="s">
        <v>201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ht="14.25">
      <c r="A145" s="56"/>
      <c r="B145" s="38" t="s">
        <v>241</v>
      </c>
      <c r="C145" s="38"/>
      <c r="D145" s="64"/>
      <c r="E145" s="42"/>
      <c r="F145" s="90">
        <v>-15.789</v>
      </c>
      <c r="G145" s="75" t="s">
        <v>239</v>
      </c>
      <c r="H145" s="42"/>
      <c r="I145" s="38"/>
      <c r="J145" s="38"/>
      <c r="K145" s="38"/>
      <c r="L145" s="38"/>
    </row>
    <row r="146" spans="1:12" ht="14.25">
      <c r="A146" s="38"/>
      <c r="B146" s="38" t="s">
        <v>242</v>
      </c>
      <c r="C146" s="8"/>
      <c r="D146" s="8"/>
      <c r="E146" s="8"/>
      <c r="F146" s="87">
        <v>20.022</v>
      </c>
      <c r="G146" s="75" t="s">
        <v>240</v>
      </c>
      <c r="H146" s="8"/>
      <c r="I146" s="38"/>
      <c r="J146" s="38"/>
      <c r="K146" s="38"/>
      <c r="L146" s="38"/>
    </row>
    <row r="147" spans="1:12" ht="13.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ht="13.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ht="13.5">
      <c r="A149" s="56" t="s">
        <v>16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ht="13.5">
      <c r="A150" s="38"/>
      <c r="B150" s="38" t="s">
        <v>194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ht="13.5">
      <c r="A151" s="38"/>
      <c r="B151" s="38" t="s">
        <v>17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ht="14.25">
      <c r="A152" s="38"/>
      <c r="B152" s="38"/>
      <c r="C152" s="117" t="s">
        <v>228</v>
      </c>
      <c r="D152" s="117"/>
      <c r="E152" s="117"/>
      <c r="F152" s="90">
        <v>-15.789</v>
      </c>
      <c r="G152" s="42" t="s">
        <v>84</v>
      </c>
      <c r="H152" s="38">
        <v>0.25</v>
      </c>
      <c r="I152" s="42" t="s">
        <v>31</v>
      </c>
      <c r="J152" s="38">
        <f>ROUND(F152*H152,3)</f>
        <v>-3.947</v>
      </c>
      <c r="K152" s="38" t="s">
        <v>85</v>
      </c>
      <c r="L152" s="38"/>
    </row>
    <row r="153" spans="1:12" ht="14.25">
      <c r="A153" s="38"/>
      <c r="B153" s="38"/>
      <c r="C153" s="117" t="s">
        <v>229</v>
      </c>
      <c r="D153" s="117"/>
      <c r="E153" s="117"/>
      <c r="F153" s="90">
        <v>20.022</v>
      </c>
      <c r="G153" s="42" t="s">
        <v>84</v>
      </c>
      <c r="H153" s="38">
        <v>0.25</v>
      </c>
      <c r="I153" s="42" t="s">
        <v>31</v>
      </c>
      <c r="J153" s="38">
        <f>ROUND(F153*H153,3)</f>
        <v>5.006</v>
      </c>
      <c r="K153" s="38" t="s">
        <v>85</v>
      </c>
      <c r="L153" s="38"/>
    </row>
    <row r="154" spans="1:12" ht="13.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ht="13.5">
      <c r="A155" s="56" t="s">
        <v>21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ht="13.5">
      <c r="A156" s="56"/>
      <c r="B156" s="38" t="s">
        <v>195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3" ht="14.25">
      <c r="A157" s="38"/>
      <c r="B157" s="38" t="s">
        <v>252</v>
      </c>
      <c r="C157" s="38"/>
      <c r="D157" s="38"/>
      <c r="E157" s="88">
        <f>F140</f>
        <v>-4.62</v>
      </c>
      <c r="F157" s="61" t="s">
        <v>243</v>
      </c>
      <c r="G157" s="87">
        <f>F145</f>
        <v>-15.789</v>
      </c>
      <c r="H157" s="61" t="s">
        <v>243</v>
      </c>
      <c r="I157" s="8">
        <f>J152</f>
        <v>-3.947</v>
      </c>
      <c r="J157" s="83" t="s">
        <v>244</v>
      </c>
      <c r="K157" s="49">
        <f>F140+F145+J152</f>
        <v>-24.355999999999998</v>
      </c>
      <c r="L157" s="38" t="s">
        <v>230</v>
      </c>
      <c r="M157" s="20"/>
    </row>
    <row r="158" spans="1:13" ht="13.5">
      <c r="A158" s="38"/>
      <c r="B158" s="38" t="s">
        <v>196</v>
      </c>
      <c r="C158" s="38"/>
      <c r="D158" s="38"/>
      <c r="E158" s="50"/>
      <c r="F158" s="50"/>
      <c r="G158" s="8"/>
      <c r="H158" s="8"/>
      <c r="I158" s="8"/>
      <c r="J158" s="38"/>
      <c r="K158" s="38"/>
      <c r="L158" s="8"/>
      <c r="M158" s="20"/>
    </row>
    <row r="159" spans="1:12" ht="14.25">
      <c r="A159" s="38"/>
      <c r="B159" s="38" t="s">
        <v>253</v>
      </c>
      <c r="C159" s="38"/>
      <c r="D159" s="38"/>
      <c r="E159" s="88">
        <f>F141</f>
        <v>3.477</v>
      </c>
      <c r="F159" s="61" t="s">
        <v>243</v>
      </c>
      <c r="G159" s="87">
        <f>F146</f>
        <v>20.022</v>
      </c>
      <c r="H159" s="61" t="s">
        <v>243</v>
      </c>
      <c r="I159" s="8">
        <f>J153</f>
        <v>5.006</v>
      </c>
      <c r="J159" s="83" t="s">
        <v>244</v>
      </c>
      <c r="K159" s="49">
        <f>F141+F146+J153</f>
        <v>28.505</v>
      </c>
      <c r="L159" s="38" t="s">
        <v>230</v>
      </c>
    </row>
    <row r="160" spans="1:12" ht="13.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</row>
    <row r="161" spans="1:4" ht="14.25">
      <c r="A161" s="5" t="s">
        <v>157</v>
      </c>
      <c r="B161" s="6"/>
      <c r="C161" s="6"/>
      <c r="D161" s="6"/>
    </row>
    <row r="162" spans="1:12" ht="13.5">
      <c r="A162" s="38" t="s">
        <v>22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ht="13.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ht="13.5">
      <c r="A164" s="38"/>
      <c r="B164" s="8" t="s">
        <v>247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ht="13.5">
      <c r="A165" s="38"/>
      <c r="B165" s="21"/>
      <c r="C165" s="21"/>
      <c r="D165" s="21"/>
      <c r="E165" s="21"/>
      <c r="F165" s="21"/>
      <c r="G165" s="21"/>
      <c r="H165" s="21"/>
      <c r="I165" s="21"/>
      <c r="J165" s="8"/>
      <c r="K165" s="8"/>
      <c r="L165" s="38"/>
    </row>
    <row r="166" spans="1:12" ht="14.25">
      <c r="A166" s="38"/>
      <c r="B166" s="41" t="s">
        <v>250</v>
      </c>
      <c r="C166" s="21" t="s">
        <v>20</v>
      </c>
      <c r="D166" s="89">
        <v>6.477</v>
      </c>
      <c r="E166" s="50" t="s">
        <v>129</v>
      </c>
      <c r="F166" s="21"/>
      <c r="G166" s="21"/>
      <c r="H166" s="21"/>
      <c r="I166" s="21"/>
      <c r="J166" s="21"/>
      <c r="K166" s="50"/>
      <c r="L166" s="38"/>
    </row>
    <row r="167" spans="1:12" ht="14.25">
      <c r="A167" s="38"/>
      <c r="B167" s="41" t="s">
        <v>251</v>
      </c>
      <c r="C167" s="21" t="s">
        <v>20</v>
      </c>
      <c r="D167" s="89">
        <v>-5.023</v>
      </c>
      <c r="E167" s="50" t="s">
        <v>129</v>
      </c>
      <c r="F167" s="38"/>
      <c r="G167" s="38"/>
      <c r="H167" s="38"/>
      <c r="I167" s="38"/>
      <c r="J167" s="21"/>
      <c r="K167" s="50"/>
      <c r="L167" s="38"/>
    </row>
    <row r="168" spans="1:12" ht="13.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1:12" ht="13.5">
      <c r="A169" s="38"/>
      <c r="B169" s="38"/>
      <c r="C169" s="38"/>
      <c r="D169" s="38"/>
      <c r="E169" s="38"/>
      <c r="F169" s="61"/>
      <c r="G169" s="38"/>
      <c r="H169" s="38"/>
      <c r="I169" s="38"/>
      <c r="J169" s="38"/>
      <c r="K169" s="38"/>
      <c r="L169" s="38"/>
    </row>
    <row r="170" spans="1:12" ht="13.5">
      <c r="A170" s="38"/>
      <c r="B170" s="38"/>
      <c r="C170" s="38"/>
      <c r="D170" s="38"/>
      <c r="E170" s="38"/>
      <c r="F170" s="61"/>
      <c r="G170" s="38"/>
      <c r="H170" s="38"/>
      <c r="I170" s="38"/>
      <c r="J170" s="38"/>
      <c r="K170" s="38"/>
      <c r="L170" s="38"/>
    </row>
    <row r="171" spans="1:12" ht="13.5">
      <c r="A171" s="38"/>
      <c r="B171" s="38"/>
      <c r="C171" s="38"/>
      <c r="D171" s="38"/>
      <c r="E171" s="38"/>
      <c r="F171" s="61"/>
      <c r="G171" s="38"/>
      <c r="H171" s="38"/>
      <c r="I171" s="38"/>
      <c r="J171" s="38"/>
      <c r="K171" s="38"/>
      <c r="L171" s="38"/>
    </row>
    <row r="172" spans="1:12" ht="13.5">
      <c r="A172" s="38" t="s">
        <v>23</v>
      </c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1:12" ht="13.5">
      <c r="A173" s="38"/>
      <c r="B173" s="38"/>
      <c r="C173" s="38"/>
      <c r="D173" s="48"/>
      <c r="E173" s="38"/>
      <c r="F173" s="38"/>
      <c r="G173" s="38"/>
      <c r="H173" s="38"/>
      <c r="I173" s="38"/>
      <c r="J173" s="38"/>
      <c r="K173" s="38"/>
      <c r="L173" s="38"/>
    </row>
    <row r="174" spans="1:12" ht="13.5">
      <c r="A174" s="38"/>
      <c r="B174" s="38"/>
      <c r="C174" s="38" t="s">
        <v>246</v>
      </c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1:12" ht="13.5">
      <c r="A175" s="38"/>
      <c r="B175" s="38"/>
      <c r="C175" s="38" t="s">
        <v>231</v>
      </c>
      <c r="D175" s="88">
        <f>E130</f>
        <v>27.459</v>
      </c>
      <c r="E175" s="118" t="str">
        <f>"/　４×（５－３／"&amp;'設計条件'!H11&amp;")"</f>
        <v>/　４×（５－３／5)</v>
      </c>
      <c r="F175" s="118"/>
      <c r="G175" s="65"/>
      <c r="H175" s="38"/>
      <c r="I175" s="42" t="s">
        <v>128</v>
      </c>
      <c r="J175" s="90">
        <f>ROUND(E130/4*(5-3/'設計条件'!H11),3)</f>
        <v>30.205</v>
      </c>
      <c r="K175" s="38" t="s">
        <v>249</v>
      </c>
      <c r="L175" s="38"/>
    </row>
    <row r="176" spans="1:12" ht="13.5">
      <c r="A176" s="38"/>
      <c r="B176" s="38"/>
      <c r="C176" s="8" t="s">
        <v>248</v>
      </c>
      <c r="D176" s="74"/>
      <c r="E176" s="79"/>
      <c r="F176" s="80"/>
      <c r="G176" s="79"/>
      <c r="H176" s="8"/>
      <c r="I176" s="32"/>
      <c r="J176" s="46"/>
      <c r="K176" s="38"/>
      <c r="L176" s="38"/>
    </row>
    <row r="177" spans="1:12" ht="13.5">
      <c r="A177" s="38"/>
      <c r="B177" s="38"/>
      <c r="C177" s="38" t="s">
        <v>258</v>
      </c>
      <c r="D177" s="38"/>
      <c r="E177" s="38"/>
      <c r="F177" s="8"/>
      <c r="G177" s="38"/>
      <c r="H177" s="38"/>
      <c r="I177" s="38"/>
      <c r="J177" s="38"/>
      <c r="K177" s="38"/>
      <c r="L177" s="38"/>
    </row>
    <row r="178" spans="1:12" ht="13.5">
      <c r="A178" s="56" t="s">
        <v>24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1:12" ht="13.5">
      <c r="A179" s="38"/>
      <c r="B179" s="38"/>
      <c r="C179" s="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1:12" ht="13.5">
      <c r="A180" s="38"/>
      <c r="B180" s="38"/>
      <c r="C180" s="38" t="s">
        <v>181</v>
      </c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1:12" ht="13.5">
      <c r="A181" s="38"/>
      <c r="B181" s="38"/>
      <c r="C181" s="38" t="s">
        <v>18</v>
      </c>
      <c r="D181" s="90">
        <f>J175</f>
        <v>30.205</v>
      </c>
      <c r="E181" s="42" t="s">
        <v>19</v>
      </c>
      <c r="F181" s="42">
        <v>0.25</v>
      </c>
      <c r="G181" s="38"/>
      <c r="H181" s="38"/>
      <c r="I181" s="42" t="s">
        <v>20</v>
      </c>
      <c r="J181" s="90">
        <f>ROUND(J175*0.25,3)</f>
        <v>7.551</v>
      </c>
      <c r="K181" s="38" t="s">
        <v>129</v>
      </c>
      <c r="L181" s="38"/>
    </row>
    <row r="182" spans="1:12" ht="13.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1:12" ht="13.5">
      <c r="A183" s="56" t="s">
        <v>25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1:12" ht="13.5">
      <c r="A184" s="56"/>
      <c r="B184" s="38"/>
      <c r="C184" s="8" t="s">
        <v>202</v>
      </c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1:12" ht="13.5">
      <c r="A185" s="38"/>
      <c r="B185" s="38"/>
      <c r="C185" s="38" t="s">
        <v>232</v>
      </c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1:12" ht="13.5">
      <c r="A186" s="38"/>
      <c r="B186" s="38"/>
      <c r="C186" s="38" t="s">
        <v>18</v>
      </c>
      <c r="D186" s="95">
        <f>D166</f>
        <v>6.477</v>
      </c>
      <c r="E186" s="42" t="s">
        <v>233</v>
      </c>
      <c r="F186" s="90">
        <f>J175</f>
        <v>30.205</v>
      </c>
      <c r="G186" s="42" t="s">
        <v>233</v>
      </c>
      <c r="H186" s="90">
        <f>J181</f>
        <v>7.551</v>
      </c>
      <c r="I186" s="42" t="s">
        <v>20</v>
      </c>
      <c r="J186" s="90">
        <f>D166+J175+J181</f>
        <v>44.233000000000004</v>
      </c>
      <c r="K186" s="38" t="s">
        <v>129</v>
      </c>
      <c r="L186" s="38"/>
    </row>
    <row r="187" spans="1:12" ht="13.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1:3" ht="14.25">
      <c r="A188" s="5" t="s">
        <v>158</v>
      </c>
      <c r="B188" s="6"/>
      <c r="C188" s="6"/>
    </row>
    <row r="189" spans="1:12" ht="13.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</row>
    <row r="190" spans="1:12" ht="13.5">
      <c r="A190" s="38"/>
      <c r="B190" s="38" t="s">
        <v>26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1:12" ht="13.5">
      <c r="A191" s="38"/>
      <c r="B191" s="38" t="s">
        <v>175</v>
      </c>
      <c r="C191" s="38"/>
      <c r="D191" s="38"/>
      <c r="E191" s="38"/>
      <c r="F191" s="38"/>
      <c r="G191" s="38" t="s">
        <v>27</v>
      </c>
      <c r="H191" s="38"/>
      <c r="I191" s="38"/>
      <c r="J191" s="38"/>
      <c r="K191" s="38"/>
      <c r="L191" s="38"/>
    </row>
    <row r="192" spans="1:12" ht="13.5">
      <c r="A192" s="38"/>
      <c r="B192" s="38"/>
      <c r="C192" s="38"/>
      <c r="D192" s="38"/>
      <c r="E192" s="38"/>
      <c r="F192" s="38"/>
      <c r="G192" s="38" t="s">
        <v>130</v>
      </c>
      <c r="H192" s="38"/>
      <c r="I192" s="38"/>
      <c r="J192" s="38"/>
      <c r="K192" s="38"/>
      <c r="L192" s="38"/>
    </row>
    <row r="193" spans="1:12" ht="14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1:12" ht="14.25">
      <c r="A194" s="38"/>
      <c r="B194" s="38"/>
      <c r="C194" s="38"/>
      <c r="D194" s="38" t="s">
        <v>131</v>
      </c>
      <c r="E194" s="38"/>
      <c r="F194" s="38"/>
      <c r="G194" s="38"/>
      <c r="H194" s="38"/>
      <c r="I194" s="38"/>
      <c r="J194" s="38"/>
      <c r="K194" s="38"/>
      <c r="L194" s="38"/>
    </row>
    <row r="195" spans="1:12" ht="14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1:12" ht="14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1:12" ht="14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1:12" ht="14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1:12" ht="14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1:12" ht="14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1:12" ht="14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1:12" ht="14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1:12" ht="14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1:12" ht="14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1:12" ht="13.5">
      <c r="A205" s="38"/>
      <c r="B205" s="38"/>
      <c r="C205" s="38"/>
      <c r="D205" s="38"/>
      <c r="E205" s="38"/>
      <c r="F205" s="38"/>
      <c r="G205" s="42" t="s">
        <v>182</v>
      </c>
      <c r="H205" s="42" t="s">
        <v>183</v>
      </c>
      <c r="I205" s="81">
        <f>('設計条件'!$H$17)</f>
        <v>35</v>
      </c>
      <c r="J205" s="38" t="s">
        <v>184</v>
      </c>
      <c r="K205" s="38"/>
      <c r="L205" s="38"/>
    </row>
    <row r="206" spans="1:12" ht="13.5">
      <c r="A206" s="38"/>
      <c r="B206" s="38"/>
      <c r="C206" s="38"/>
      <c r="D206" s="38"/>
      <c r="E206" s="38"/>
      <c r="F206" s="38"/>
      <c r="G206" s="42" t="s">
        <v>185</v>
      </c>
      <c r="H206" s="42" t="s">
        <v>183</v>
      </c>
      <c r="I206" s="81">
        <f>ROUND(I205*0.866,1)</f>
        <v>30.3</v>
      </c>
      <c r="J206" s="38" t="s">
        <v>184</v>
      </c>
      <c r="K206" s="38"/>
      <c r="L206" s="38"/>
    </row>
    <row r="207" spans="1:12" ht="15">
      <c r="A207" s="38"/>
      <c r="B207" s="38"/>
      <c r="C207" s="38"/>
      <c r="D207" s="38"/>
      <c r="E207" s="38"/>
      <c r="F207" s="38"/>
      <c r="G207" s="42" t="s">
        <v>186</v>
      </c>
      <c r="H207" s="42" t="s">
        <v>183</v>
      </c>
      <c r="I207" s="82">
        <f>ROUND((1/6*(0.5*I205)*(I206)^2+((PI()*(I205)^3)/(48*SQRT(3))-(3*(I205)^3)/128)*2)*1000,0)</f>
        <v>3908274</v>
      </c>
      <c r="J207" s="38" t="s">
        <v>257</v>
      </c>
      <c r="K207" s="38"/>
      <c r="L207" s="38"/>
    </row>
    <row r="208" spans="1:12" ht="15">
      <c r="A208" s="38"/>
      <c r="B208" s="38" t="s">
        <v>187</v>
      </c>
      <c r="C208" s="38"/>
      <c r="D208" s="67" t="str">
        <f>ROUNDDOWN(K159*1000,0)*1000&amp;" ／  "&amp;I207&amp;"＝　"</f>
        <v>28505000 ／  3908274＝　</v>
      </c>
      <c r="E208" s="61"/>
      <c r="F208" s="68"/>
      <c r="G208" s="69">
        <f>ROUNDDOWN(K159*1000,0)*1000/I207</f>
        <v>7.2935009162612445</v>
      </c>
      <c r="H208" s="42" t="str">
        <f>IF(G208&lt;=J208,"＜","＞")</f>
        <v>＜</v>
      </c>
      <c r="I208" s="42" t="s">
        <v>188</v>
      </c>
      <c r="J208" s="46">
        <f>'設計条件'!H28</f>
        <v>17.6</v>
      </c>
      <c r="K208" s="38" t="s">
        <v>234</v>
      </c>
      <c r="L208" s="38"/>
    </row>
    <row r="209" spans="1:12" ht="13.5">
      <c r="A209" s="38"/>
      <c r="B209" s="38"/>
      <c r="C209" s="38"/>
      <c r="D209" s="38"/>
      <c r="E209" s="38"/>
      <c r="F209" s="38"/>
      <c r="G209" s="38"/>
      <c r="H209" s="42" t="s">
        <v>189</v>
      </c>
      <c r="I209" s="42" t="str">
        <f>IF(G208&lt;J208,"OK","OUT")</f>
        <v>OK</v>
      </c>
      <c r="J209" s="38"/>
      <c r="K209" s="38"/>
      <c r="L209" s="38"/>
    </row>
    <row r="210" spans="1:12" ht="13.5">
      <c r="A210" s="38"/>
      <c r="B210" s="38"/>
      <c r="C210" s="38"/>
      <c r="D210" s="38"/>
      <c r="E210" s="38"/>
      <c r="F210" s="38"/>
      <c r="G210" s="38"/>
      <c r="H210" s="42"/>
      <c r="I210" s="42"/>
      <c r="J210" s="38"/>
      <c r="K210" s="42"/>
      <c r="L210" s="38"/>
    </row>
    <row r="211" spans="1:12" ht="13.5">
      <c r="A211" s="38"/>
      <c r="B211" s="38" t="s">
        <v>28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1:12" ht="13.5">
      <c r="A212" s="38"/>
      <c r="B212" s="38" t="s">
        <v>107</v>
      </c>
      <c r="C212" s="38"/>
      <c r="D212" s="38"/>
      <c r="E212" s="38"/>
      <c r="F212" s="38"/>
      <c r="G212" s="38" t="s">
        <v>261</v>
      </c>
      <c r="H212" s="38"/>
      <c r="I212" s="38"/>
      <c r="J212" s="38"/>
      <c r="K212" s="38"/>
      <c r="L212" s="38"/>
    </row>
    <row r="213" spans="1:12" ht="15">
      <c r="A213" s="38"/>
      <c r="B213" s="38"/>
      <c r="C213" s="38"/>
      <c r="D213" s="38"/>
      <c r="E213" s="38"/>
      <c r="F213" s="38"/>
      <c r="G213" s="38" t="s">
        <v>262</v>
      </c>
      <c r="H213" s="38"/>
      <c r="I213" s="38"/>
      <c r="J213" s="38"/>
      <c r="K213" s="38"/>
      <c r="L213" s="38"/>
    </row>
    <row r="214" spans="1:12" ht="15">
      <c r="A214" s="38"/>
      <c r="B214" s="38"/>
      <c r="C214" s="38"/>
      <c r="D214" s="38"/>
      <c r="E214" s="38"/>
      <c r="F214" s="38"/>
      <c r="G214" s="38" t="s">
        <v>263</v>
      </c>
      <c r="H214" s="38"/>
      <c r="I214" s="38"/>
      <c r="J214" s="38"/>
      <c r="K214" s="38"/>
      <c r="L214" s="38"/>
    </row>
    <row r="215" spans="1:12" ht="13.5">
      <c r="A215" s="38"/>
      <c r="B215" s="38"/>
      <c r="C215" s="38"/>
      <c r="D215" s="38" t="s">
        <v>131</v>
      </c>
      <c r="E215" s="38"/>
      <c r="F215" s="38"/>
      <c r="G215" s="42" t="s">
        <v>190</v>
      </c>
      <c r="H215" s="42" t="s">
        <v>183</v>
      </c>
      <c r="I215" s="81">
        <f>('設計条件'!$H$17)</f>
        <v>35</v>
      </c>
      <c r="J215" s="38" t="s">
        <v>184</v>
      </c>
      <c r="K215" s="38"/>
      <c r="L215" s="38"/>
    </row>
    <row r="216" spans="1:12" ht="13.5">
      <c r="A216" s="38"/>
      <c r="B216" s="38"/>
      <c r="C216" s="38"/>
      <c r="D216" s="38"/>
      <c r="E216" s="38"/>
      <c r="F216" s="38"/>
      <c r="G216" s="42" t="s">
        <v>185</v>
      </c>
      <c r="H216" s="42" t="s">
        <v>183</v>
      </c>
      <c r="I216" s="81">
        <f>ROUND(I215*0.866,1)</f>
        <v>30.3</v>
      </c>
      <c r="J216" s="38" t="s">
        <v>184</v>
      </c>
      <c r="K216" s="38"/>
      <c r="L216" s="38"/>
    </row>
    <row r="217" spans="1:12" ht="15">
      <c r="A217" s="38"/>
      <c r="B217" s="38"/>
      <c r="C217" s="38"/>
      <c r="D217" s="38"/>
      <c r="E217" s="38"/>
      <c r="F217" s="38"/>
      <c r="G217" s="42" t="s">
        <v>191</v>
      </c>
      <c r="H217" s="42" t="s">
        <v>183</v>
      </c>
      <c r="I217" s="42">
        <f>ROUND(I215*0.5*10*I216*10+(PI()*(I215*10)^2/12-(I215*10)^2*SQRT(3)/16)*2,0)</f>
        <v>90644</v>
      </c>
      <c r="J217" s="38" t="s">
        <v>235</v>
      </c>
      <c r="K217" s="38"/>
      <c r="L217" s="38"/>
    </row>
    <row r="218" spans="1:12" ht="15">
      <c r="A218" s="38"/>
      <c r="B218" s="38" t="s">
        <v>192</v>
      </c>
      <c r="C218" s="42" t="s">
        <v>183</v>
      </c>
      <c r="D218" s="67" t="str">
        <f>J186*1000&amp;"  ／  "&amp;I217&amp;"  ＝　　"</f>
        <v>44233  ／  90644  ＝　　</v>
      </c>
      <c r="E218" s="61"/>
      <c r="F218" s="68"/>
      <c r="G218" s="69">
        <f>ROUND(J186*1000/I217,2)</f>
        <v>0.49</v>
      </c>
      <c r="H218" s="42" t="str">
        <f>IF(G218&lt;=J218,"＜","＞")</f>
        <v>＜</v>
      </c>
      <c r="I218" s="42" t="s">
        <v>193</v>
      </c>
      <c r="J218" s="46">
        <f>'設計条件'!H29</f>
        <v>1.6</v>
      </c>
      <c r="K218" s="38" t="s">
        <v>234</v>
      </c>
      <c r="L218" s="38"/>
    </row>
    <row r="219" spans="1:12" ht="13.5">
      <c r="A219" s="38"/>
      <c r="B219" s="38"/>
      <c r="C219" s="38"/>
      <c r="D219" s="38"/>
      <c r="E219" s="38"/>
      <c r="F219" s="38"/>
      <c r="G219" s="38"/>
      <c r="H219" s="42" t="s">
        <v>189</v>
      </c>
      <c r="I219" s="42" t="str">
        <f>IF(G218&lt;=J218,"OK","OUT")</f>
        <v>OK</v>
      </c>
      <c r="J219" s="38"/>
      <c r="K219" s="38"/>
      <c r="L219" s="38"/>
    </row>
    <row r="220" spans="1:12" ht="13.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1:12" ht="13.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3.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3.5">
      <c r="A224" s="8"/>
      <c r="B224" s="8" t="s">
        <v>254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3.5">
      <c r="A225" s="8"/>
      <c r="B225" s="8" t="s">
        <v>255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3.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3.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3.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3.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3.5">
      <c r="A230" s="8"/>
      <c r="B230" s="8"/>
      <c r="C230" s="8"/>
      <c r="D230" s="8"/>
      <c r="E230" s="8"/>
      <c r="F230" s="61"/>
      <c r="G230" s="8"/>
      <c r="H230" s="8"/>
      <c r="I230" s="8"/>
      <c r="J230" s="8"/>
      <c r="K230" s="8"/>
      <c r="L230" s="8"/>
    </row>
    <row r="235" ht="13.5">
      <c r="F235" s="20"/>
    </row>
  </sheetData>
  <mergeCells count="3">
    <mergeCell ref="C152:E152"/>
    <mergeCell ref="C153:E153"/>
    <mergeCell ref="E175:F175"/>
  </mergeCells>
  <printOptions/>
  <pageMargins left="0.537401575" right="0" top="0.984251968503937" bottom="0.419291339" header="0.511811023622047" footer="0.511811023622047"/>
  <pageSetup blackAndWhite="1" horizontalDpi="240" verticalDpi="240" orientation="portrait" paperSize="9" scale="95" r:id="rId2"/>
  <rowBreaks count="3" manualBreakCount="3">
    <brk id="56" max="255" man="1"/>
    <brk id="114" max="255" man="1"/>
    <brk id="17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</dc:creator>
  <cp:keywords/>
  <dc:description/>
  <cp:lastModifiedBy>長野県林業コンサルタント協会</cp:lastModifiedBy>
  <cp:lastPrinted>2003-02-28T01:05:13Z</cp:lastPrinted>
  <dcterms:created xsi:type="dcterms:W3CDTF">2002-01-26T06:35:56Z</dcterms:created>
  <dcterms:modified xsi:type="dcterms:W3CDTF">2003-04-10T01:38:55Z</dcterms:modified>
  <cp:category/>
  <cp:version/>
  <cp:contentType/>
  <cp:contentStatus/>
</cp:coreProperties>
</file>